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davidehrenberger/Desktop/PCF RFA and Updates/PCF Revenue Calculator RFA/"/>
    </mc:Choice>
  </mc:AlternateContent>
  <xr:revisionPtr revIDLastSave="0" documentId="13_ncr:1_{59DD7C26-A94D-014C-83AB-3DBC339B3C8A}" xr6:coauthVersionLast="45" xr6:coauthVersionMax="45" xr10:uidLastSave="{00000000-0000-0000-0000-000000000000}"/>
  <bookViews>
    <workbookView xWindow="0" yWindow="0" windowWidth="28800" windowHeight="18000" xr2:uid="{CE4A28E7-DB1E-D447-886D-4470B140A756}"/>
  </bookViews>
  <sheets>
    <sheet name="PCF Revenue Calculator" sheetId="6" r:id="rId1"/>
    <sheet name="Algorithm Ref Tables" sheetId="7" r:id="rId2"/>
    <sheet name="Details and Definitions" sheetId="9" r:id="rId3"/>
    <sheet name="PCF Additions notes" sheetId="5" state="hidden" r:id="rId4"/>
  </sheets>
  <definedNames>
    <definedName name="_xlnm.Print_Area" localSheetId="0">'PCF Revenue Calculator'!$A$1:$F$64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4" i="7" l="1"/>
  <c r="J104" i="7"/>
  <c r="D17" i="7"/>
  <c r="J45" i="7" l="1"/>
  <c r="J46" i="7" s="1"/>
  <c r="C23" i="7"/>
  <c r="D24" i="7"/>
  <c r="C24" i="7"/>
  <c r="D10" i="7"/>
  <c r="C10" i="7"/>
  <c r="D16" i="7"/>
  <c r="D23" i="7" l="1"/>
  <c r="C16" i="7"/>
  <c r="D16" i="6" s="1"/>
  <c r="C17" i="7" l="1"/>
  <c r="E9" i="6" l="1"/>
  <c r="E11" i="6" s="1"/>
  <c r="D7" i="7" s="1"/>
  <c r="D9" i="6"/>
  <c r="D11" i="6" s="1"/>
  <c r="K67" i="7"/>
  <c r="K66" i="7"/>
  <c r="J66" i="7"/>
  <c r="K72" i="7" l="1"/>
  <c r="K73" i="7" s="1"/>
  <c r="K65" i="7"/>
  <c r="K45" i="7"/>
  <c r="K46" i="7" s="1"/>
  <c r="K44" i="7"/>
  <c r="K38" i="7"/>
  <c r="D34" i="7"/>
  <c r="K22" i="7"/>
  <c r="K27" i="7"/>
  <c r="K28" i="7"/>
  <c r="K29" i="7"/>
  <c r="K30" i="7"/>
  <c r="K31" i="7"/>
  <c r="K32" i="7"/>
  <c r="K33" i="7"/>
  <c r="K47" i="7" l="1"/>
  <c r="E60" i="6"/>
  <c r="E61" i="6"/>
  <c r="D31" i="7" l="1"/>
  <c r="D22" i="7"/>
  <c r="D21" i="7"/>
  <c r="L22" i="7" s="1"/>
  <c r="J22" i="7" s="1"/>
  <c r="K79" i="7"/>
  <c r="D11" i="7"/>
  <c r="D6" i="7"/>
  <c r="D18" i="7" s="1"/>
  <c r="D12" i="7"/>
  <c r="D14" i="7"/>
  <c r="D5" i="7"/>
  <c r="P86" i="7"/>
  <c r="L86" i="7" s="1"/>
  <c r="P87" i="7"/>
  <c r="L87" i="7" s="1"/>
  <c r="P88" i="7"/>
  <c r="L88" i="7" s="1"/>
  <c r="K48" i="7" s="1"/>
  <c r="K55" i="7" s="1"/>
  <c r="K56" i="7" s="1"/>
  <c r="P85" i="7"/>
  <c r="L85" i="7" s="1"/>
  <c r="D13" i="7" l="1"/>
  <c r="D19" i="7"/>
  <c r="K21" i="7"/>
  <c r="K20" i="7"/>
  <c r="K19" i="7"/>
  <c r="N19" i="7" s="1"/>
  <c r="K17" i="7"/>
  <c r="L17" i="7" s="1"/>
  <c r="L21" i="7"/>
  <c r="J21" i="7" s="1"/>
  <c r="L20" i="7"/>
  <c r="J20" i="7" s="1"/>
  <c r="Q86" i="7"/>
  <c r="Q85" i="7"/>
  <c r="Q87" i="7"/>
  <c r="Q88" i="7"/>
  <c r="K53" i="7" l="1"/>
  <c r="K52" i="7"/>
  <c r="D26" i="7"/>
  <c r="D25" i="7"/>
  <c r="E38" i="6"/>
  <c r="L19" i="7"/>
  <c r="F9" i="7"/>
  <c r="D19" i="6"/>
  <c r="W86" i="7"/>
  <c r="W87" i="7"/>
  <c r="W88" i="7"/>
  <c r="W85" i="7"/>
  <c r="W90" i="7"/>
  <c r="E19" i="6" l="1"/>
  <c r="K69" i="7"/>
  <c r="K12" i="7"/>
  <c r="J79" i="7"/>
  <c r="J81" i="7" s="1"/>
  <c r="J67" i="7"/>
  <c r="J72" i="7" s="1"/>
  <c r="J73" i="7" s="1"/>
  <c r="J65" i="7"/>
  <c r="J48" i="7"/>
  <c r="J44" i="7"/>
  <c r="J38" i="7"/>
  <c r="J39" i="7" s="1"/>
  <c r="J33" i="7"/>
  <c r="J32" i="7"/>
  <c r="J31" i="7"/>
  <c r="J30" i="7"/>
  <c r="J29" i="7"/>
  <c r="J28" i="7"/>
  <c r="J27" i="7"/>
  <c r="C34" i="7"/>
  <c r="C35" i="7" s="1"/>
  <c r="M8" i="7" s="1"/>
  <c r="C31" i="7"/>
  <c r="C22" i="7"/>
  <c r="C21" i="7"/>
  <c r="C14" i="7"/>
  <c r="C12" i="7"/>
  <c r="C6" i="7"/>
  <c r="C5" i="7"/>
  <c r="V88" i="7"/>
  <c r="V87" i="7"/>
  <c r="V86" i="7"/>
  <c r="V85" i="7"/>
  <c r="K81" i="7"/>
  <c r="K39" i="7"/>
  <c r="K40" i="7" s="1"/>
  <c r="D35" i="7"/>
  <c r="D32" i="7"/>
  <c r="D27" i="7"/>
  <c r="J40" i="7" l="1"/>
  <c r="K100" i="7"/>
  <c r="D9" i="7"/>
  <c r="K116" i="7" s="1"/>
  <c r="K117" i="7" s="1"/>
  <c r="D8" i="7"/>
  <c r="C18" i="7"/>
  <c r="D29" i="7"/>
  <c r="D28" i="7"/>
  <c r="J47" i="7"/>
  <c r="C8" i="7"/>
  <c r="C7" i="7"/>
  <c r="C9" i="7" s="1"/>
  <c r="C27" i="7"/>
  <c r="C11" i="7"/>
  <c r="D14" i="6" s="1"/>
  <c r="E62" i="6"/>
  <c r="K74" i="7"/>
  <c r="K75" i="7" s="1"/>
  <c r="E63" i="6" s="1"/>
  <c r="D61" i="6"/>
  <c r="J69" i="7"/>
  <c r="D62" i="6" s="1"/>
  <c r="K18" i="7"/>
  <c r="K16" i="7"/>
  <c r="L16" i="7" s="1"/>
  <c r="K7" i="7"/>
  <c r="L7" i="7" s="1"/>
  <c r="K9" i="7"/>
  <c r="N9" i="7" s="1"/>
  <c r="K10" i="7"/>
  <c r="L10" i="7" s="1"/>
  <c r="J10" i="7" s="1"/>
  <c r="K11" i="7"/>
  <c r="L11" i="7" s="1"/>
  <c r="J11" i="7" s="1"/>
  <c r="M19" i="7"/>
  <c r="O19" i="7" s="1"/>
  <c r="P19" i="7" s="1"/>
  <c r="M18" i="7"/>
  <c r="M17" i="7"/>
  <c r="P17" i="7" s="1"/>
  <c r="M16" i="7"/>
  <c r="M9" i="7"/>
  <c r="L12" i="7"/>
  <c r="J12" i="7" s="1"/>
  <c r="C32" i="7"/>
  <c r="K34" i="7"/>
  <c r="E42" i="6"/>
  <c r="J34" i="7"/>
  <c r="C48" i="7" s="1"/>
  <c r="M6" i="7"/>
  <c r="M7" i="7"/>
  <c r="P7" i="7" s="1"/>
  <c r="C40" i="7" l="1"/>
  <c r="E36" i="6"/>
  <c r="D40" i="7"/>
  <c r="J116" i="7"/>
  <c r="J117" i="7" s="1"/>
  <c r="D41" i="7"/>
  <c r="K103" i="7" s="1"/>
  <c r="K105" i="7" s="1"/>
  <c r="K114" i="7" s="1"/>
  <c r="K109" i="7"/>
  <c r="K112" i="7" s="1"/>
  <c r="E37" i="6"/>
  <c r="D37" i="6"/>
  <c r="J55" i="7"/>
  <c r="J56" i="7" s="1"/>
  <c r="D36" i="6"/>
  <c r="J62" i="7"/>
  <c r="D43" i="6"/>
  <c r="C13" i="7"/>
  <c r="J52" i="7" s="1"/>
  <c r="C19" i="7"/>
  <c r="J74" i="7"/>
  <c r="J75" i="7" s="1"/>
  <c r="N16" i="7"/>
  <c r="O16" i="7" s="1"/>
  <c r="P16" i="7" s="1"/>
  <c r="K6" i="7"/>
  <c r="K8" i="7"/>
  <c r="N8" i="7" s="1"/>
  <c r="N18" i="7"/>
  <c r="O18" i="7" s="1"/>
  <c r="P18" i="7" s="1"/>
  <c r="L18" i="7"/>
  <c r="L23" i="7" s="1"/>
  <c r="D33" i="7" s="1"/>
  <c r="E39" i="6" s="1"/>
  <c r="D48" i="7"/>
  <c r="E33" i="6"/>
  <c r="D60" i="6"/>
  <c r="L9" i="7"/>
  <c r="J7" i="7"/>
  <c r="K41" i="7"/>
  <c r="D33" i="6"/>
  <c r="K78" i="7"/>
  <c r="K80" i="7" s="1"/>
  <c r="E44" i="6"/>
  <c r="C26" i="7" l="1"/>
  <c r="J53" i="7"/>
  <c r="K111" i="7"/>
  <c r="K110" i="7"/>
  <c r="J109" i="7"/>
  <c r="J112" i="7" s="1"/>
  <c r="J78" i="7"/>
  <c r="C41" i="7"/>
  <c r="K62" i="7"/>
  <c r="D42" i="7" s="1"/>
  <c r="E46" i="6" s="1"/>
  <c r="E43" i="6"/>
  <c r="D38" i="6"/>
  <c r="C42" i="7"/>
  <c r="D46" i="6" s="1"/>
  <c r="D63" i="6"/>
  <c r="P23" i="7"/>
  <c r="D42" i="6"/>
  <c r="N6" i="7"/>
  <c r="O6" i="7" s="1"/>
  <c r="P6" i="7" s="1"/>
  <c r="L6" i="7"/>
  <c r="O8" i="7"/>
  <c r="P8" i="7" s="1"/>
  <c r="L8" i="7"/>
  <c r="I23" i="5"/>
  <c r="J23" i="5"/>
  <c r="I16" i="5"/>
  <c r="J3" i="5"/>
  <c r="I17" i="5" s="1"/>
  <c r="I18" i="5" s="1"/>
  <c r="H22" i="5" s="1"/>
  <c r="I13" i="5"/>
  <c r="K2" i="5"/>
  <c r="J11" i="5"/>
  <c r="K3" i="5"/>
  <c r="I7" i="5"/>
  <c r="I9" i="5" s="1"/>
  <c r="I6" i="5"/>
  <c r="J103" i="7" l="1"/>
  <c r="J105" i="7" s="1"/>
  <c r="J114" i="7" s="1"/>
  <c r="J100" i="7"/>
  <c r="C29" i="7"/>
  <c r="J111" i="7"/>
  <c r="J110" i="7"/>
  <c r="L13" i="7"/>
  <c r="C33" i="7" s="1"/>
  <c r="J41" i="7"/>
  <c r="C25" i="7"/>
  <c r="C28" i="7" s="1"/>
  <c r="J80" i="7"/>
  <c r="J6" i="7"/>
  <c r="J8" i="7"/>
  <c r="F33" i="6"/>
  <c r="I22" i="5"/>
  <c r="J22" i="5" s="1"/>
  <c r="F63" i="6"/>
  <c r="J19" i="7" l="1"/>
  <c r="J18" i="7"/>
  <c r="J17" i="7"/>
  <c r="D44" i="6"/>
  <c r="D39" i="6"/>
  <c r="O9" i="7"/>
  <c r="P9" i="7" s="1"/>
  <c r="D36" i="7" l="1"/>
  <c r="E40" i="6" s="1"/>
  <c r="J16" i="7"/>
  <c r="J23" i="7" s="1"/>
  <c r="D37" i="7" s="1"/>
  <c r="J9" i="7"/>
  <c r="J13" i="7" s="1"/>
  <c r="C37" i="7" s="1"/>
  <c r="C38" i="7" s="1"/>
  <c r="P13" i="7"/>
  <c r="C36" i="7" s="1"/>
  <c r="D40" i="6" s="1"/>
  <c r="J49" i="7" l="1"/>
  <c r="J50" i="7" s="1"/>
  <c r="J113" i="7"/>
  <c r="D45" i="6"/>
  <c r="K118" i="7"/>
  <c r="E49" i="6" s="1"/>
  <c r="K113" i="7"/>
  <c r="K115" i="7" s="1"/>
  <c r="J101" i="7"/>
  <c r="J118" i="7"/>
  <c r="K101" i="7"/>
  <c r="K102" i="7" s="1"/>
  <c r="K106" i="7" s="1"/>
  <c r="D38" i="7"/>
  <c r="E41" i="6"/>
  <c r="D41" i="6"/>
  <c r="E45" i="6" l="1"/>
  <c r="K49" i="7"/>
  <c r="K50" i="7" s="1"/>
  <c r="J115" i="7"/>
  <c r="D48" i="6" s="1"/>
  <c r="J57" i="7"/>
  <c r="J59" i="7" s="1"/>
  <c r="J51" i="7"/>
  <c r="J58" i="7" s="1"/>
  <c r="D49" i="6"/>
  <c r="J102" i="7"/>
  <c r="J106" i="7" s="1"/>
  <c r="K119" i="7"/>
  <c r="E48" i="6"/>
  <c r="E47" i="6" s="1"/>
  <c r="F46" i="6"/>
  <c r="K51" i="7" l="1"/>
  <c r="K58" i="7" s="1"/>
  <c r="K120" i="7" s="1"/>
  <c r="K57" i="7"/>
  <c r="K59" i="7" s="1"/>
  <c r="J119" i="7"/>
  <c r="J120" i="7" s="1"/>
  <c r="D47" i="6"/>
  <c r="C43" i="7"/>
  <c r="C44" i="7" s="1"/>
  <c r="D51" i="6" s="1"/>
  <c r="J60" i="7"/>
  <c r="K60" i="7" l="1"/>
  <c r="D43" i="7"/>
  <c r="D50" i="6"/>
  <c r="C49" i="7"/>
  <c r="D53" i="6" s="1"/>
  <c r="C45" i="7"/>
  <c r="D52" i="6" s="1"/>
  <c r="E50" i="6" l="1"/>
  <c r="F50" i="6" s="1"/>
  <c r="D44" i="7"/>
  <c r="D45" i="7" s="1"/>
  <c r="E52" i="6" s="1"/>
  <c r="F52" i="6" s="1"/>
  <c r="D49" i="7" l="1"/>
  <c r="E53" i="6" s="1"/>
  <c r="F53" i="6" s="1"/>
  <c r="E51" i="6"/>
  <c r="F5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Ehrenberger</author>
  </authors>
  <commentList>
    <comment ref="C45" authorId="0" shapeId="0" xr:uid="{3991E4A5-FD1A-9B45-B594-CAA92F179740}">
      <text>
        <r>
          <rPr>
            <b/>
            <sz val="10"/>
            <color rgb="FF000000"/>
            <rFont val="Tahoma"/>
            <family val="2"/>
          </rPr>
          <t xml:space="preserve">David Ehrenberger:
</t>
        </r>
        <r>
          <rPr>
            <sz val="10"/>
            <color rgb="FF000000"/>
            <rFont val="Tahoma"/>
            <family val="2"/>
          </rPr>
          <t>Factors in AHU/CI/Gateway adjustments to TPCP, leakage, attribution, impact of new CM, average HCC risk, average risk adjusted or observed OV/yr.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Ehrenberger</author>
  </authors>
  <commentList>
    <comment ref="B42" authorId="0" shapeId="0" xr:uid="{6F6EED0F-8613-DA42-9CA7-F9A2AC71FBD6}">
      <text>
        <r>
          <rPr>
            <b/>
            <sz val="10"/>
            <color rgb="FF000000"/>
            <rFont val="Tahoma"/>
            <family val="2"/>
          </rPr>
          <t>David Ehrenberger:</t>
        </r>
        <r>
          <rPr>
            <sz val="10"/>
            <color rgb="FF000000"/>
            <rFont val="Tahoma"/>
            <family val="2"/>
          </rPr>
          <t xml:space="preserve">
</t>
        </r>
        <r>
          <rPr>
            <sz val="10"/>
            <color rgb="FF000000"/>
            <rFont val="Tahoma"/>
            <family val="2"/>
          </rPr>
          <t>Factors in leakage, risk adjusted or observed OV/yr, CCM fee revenue, incremental impact of additional HR patients.</t>
        </r>
      </text>
    </comment>
    <comment ref="B43" authorId="0" shapeId="0" xr:uid="{F6E87A2E-C87D-AE46-BE44-00E81386F6C5}">
      <text>
        <r>
          <rPr>
            <b/>
            <sz val="10"/>
            <color rgb="FF000000"/>
            <rFont val="Tahoma"/>
            <family val="2"/>
          </rPr>
          <t>David Ehrenberger:</t>
        </r>
        <r>
          <rPr>
            <sz val="10"/>
            <color rgb="FF000000"/>
            <rFont val="Tahoma"/>
            <family val="2"/>
          </rPr>
          <t xml:space="preserve">
</t>
        </r>
        <r>
          <rPr>
            <sz val="10"/>
            <color rgb="FF000000"/>
            <rFont val="Calibri"/>
            <family val="2"/>
          </rPr>
          <t xml:space="preserve">Factors in: total adjustments to TPCP, average HCC, risk-adjusted or observed OV/yr, leakage, attribution, impact of new CM, revenue from non-attributed MCR pts, subsequent additional High Risk pts, and SIP revenue, if PCF Practice includes SIP patients; also includes impact of Co-Insurance waivers.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Ehrenberger</author>
  </authors>
  <commentList>
    <comment ref="A52" authorId="0" shapeId="0" xr:uid="{5672865C-3411-3B45-B0D4-167CF49BC4B7}">
      <text>
        <r>
          <rPr>
            <b/>
            <sz val="10"/>
            <color rgb="FF000000"/>
            <rFont val="Tahoma"/>
            <family val="2"/>
          </rPr>
          <t xml:space="preserve">David Ehrenberger:
</t>
        </r>
        <r>
          <rPr>
            <sz val="10"/>
            <color rgb="FF000000"/>
            <rFont val="Tahoma"/>
            <family val="2"/>
          </rPr>
          <t>Factors in AHU/CI/Gateway adjustments to TPCP, leakage, attribution, impact of new CM, average HCC risk, average risk adjusted or observed OV/yr.</t>
        </r>
      </text>
    </comment>
  </commentList>
</comments>
</file>

<file path=xl/sharedStrings.xml><?xml version="1.0" encoding="utf-8"?>
<sst xmlns="http://schemas.openxmlformats.org/spreadsheetml/2006/main" count="531" uniqueCount="422">
  <si>
    <t>Variables</t>
  </si>
  <si>
    <t>Average MCR FFS payment (National)</t>
  </si>
  <si>
    <t>No change in the frequency of F2F encounters</t>
  </si>
  <si>
    <t># Attributed MCR FFS patients (National)</t>
  </si>
  <si>
    <t># FTE Providers</t>
  </si>
  <si>
    <t>Flat Primary Care Visit Fee</t>
  </si>
  <si>
    <t>MCR FFS Modeling</t>
  </si>
  <si>
    <t>PCF Payment Modeling</t>
  </si>
  <si>
    <t>MCR FFS "PMPM Equivalent"</t>
  </si>
  <si>
    <t>MCR FFS vs. PCF Revenue</t>
  </si>
  <si>
    <t>Y</t>
  </si>
  <si>
    <t>Custom Case Scenario #1</t>
  </si>
  <si>
    <t>Custom Case Scenario #2</t>
  </si>
  <si>
    <t>CI Adjust</t>
  </si>
  <si>
    <t>Adjustment Scenario References</t>
  </si>
  <si>
    <t>Options</t>
  </si>
  <si>
    <t>PCF Practice Performance</t>
  </si>
  <si>
    <t>Risk Group</t>
  </si>
  <si>
    <t>Number of additional Higher Risk Patients</t>
  </si>
  <si>
    <t>HCC Group</t>
  </si>
  <si>
    <t>1.2-1.5</t>
  </si>
  <si>
    <t>1.5-2.0</t>
  </si>
  <si>
    <t>&gt;2.0</t>
  </si>
  <si>
    <t>FFS per OV (MCR)</t>
  </si>
  <si>
    <t>Incremental Revenue/mo (MCR FFS)</t>
  </si>
  <si>
    <t>Incremental Revenue/yr (MCR FFS)</t>
  </si>
  <si>
    <t>DELTA MCR-PCF/mo</t>
  </si>
  <si>
    <t>DELTA MCR-PCF/yr</t>
  </si>
  <si>
    <t>Additional Overhead to Support PCF Functions</t>
  </si>
  <si>
    <t>Add'l Staff (MA's or): total comp</t>
  </si>
  <si>
    <t>Care Manager: total comp</t>
  </si>
  <si>
    <t>TOTAL</t>
  </si>
  <si>
    <t>Beneficiary Attribution Adjustment</t>
  </si>
  <si>
    <t>Calculator Inputs</t>
  </si>
  <si>
    <t>Calculator Outputs</t>
  </si>
  <si>
    <t>Non Revenue Leadership (physician)</t>
  </si>
  <si>
    <t>Default (National Data)</t>
  </si>
  <si>
    <t>Other</t>
  </si>
  <si>
    <t>Incremental Higher Risk Patient Impact</t>
  </si>
  <si>
    <t>Outputs</t>
  </si>
  <si>
    <t>Estimated Risk Adjusted OVs/yr</t>
  </si>
  <si>
    <t xml:space="preserve">Custom Case </t>
  </si>
  <si>
    <t>Scenario #1</t>
  </si>
  <si>
    <t>Scenario #2</t>
  </si>
  <si>
    <t>PCF Add'l Overhead (examples, $ per year)</t>
  </si>
  <si>
    <t>PRIMARY CARE FIRST REVENUE CALCULATOR</t>
  </si>
  <si>
    <t xml:space="preserve">Average Visits/Medicare Pt/yr </t>
  </si>
  <si>
    <t>Number of FTE Providers</t>
  </si>
  <si>
    <t>Primary Care First Revenue: Algorithms &amp; Reference Tables</t>
  </si>
  <si>
    <t>DETAILS and DEFINITIONS</t>
  </si>
  <si>
    <t>Grey Background = Protected/Output Fields</t>
  </si>
  <si>
    <t>White Background = Practice  Input Variables</t>
  </si>
  <si>
    <t>SIP algorithm--for Option #3 (combined PCF and SIP)</t>
  </si>
  <si>
    <t>Add Flat Visit Fee CPT codes list</t>
  </si>
  <si>
    <t>Add to MCR modeling:</t>
  </si>
  <si>
    <t>TCM</t>
  </si>
  <si>
    <t>AWV</t>
  </si>
  <si>
    <t>WTM</t>
  </si>
  <si>
    <t>MCR pmt/service</t>
  </si>
  <si>
    <t># services/yr</t>
  </si>
  <si>
    <t>Add TPCP terminology--as in:</t>
  </si>
  <si>
    <t>PBP:  Cohort Adjustment--% of TPCP</t>
  </si>
  <si>
    <t>PBP:  Continuous Improvement Adjustment--% of TPCP</t>
  </si>
  <si>
    <t>Add Risk Groups 4&amp;5 and SIP Q measures--update</t>
  </si>
  <si>
    <t>Applicable for years 2-5 only</t>
  </si>
  <si>
    <t>Not eCQM measures (DM A1C Poor Control, Controlling HBP, CRC Screening)</t>
  </si>
  <si>
    <t>AHU, modernized CAHPS, Planned Care</t>
  </si>
  <si>
    <t>Beneficiaries</t>
  </si>
  <si>
    <t>OV/y/pt</t>
  </si>
  <si>
    <t>OV to PCF</t>
  </si>
  <si>
    <t>OV to all PCPs</t>
  </si>
  <si>
    <t>Leakage</t>
  </si>
  <si>
    <t>PPBM (RG 3)</t>
  </si>
  <si>
    <t>PPBM Adjust</t>
  </si>
  <si>
    <t>PCP Leakage Adjustment</t>
  </si>
  <si>
    <t>% OV/yr/Attrib Pts: PCF practice vs. all PCPs</t>
  </si>
  <si>
    <t>Total PCF attrib Pts OV/yr at PCF Practice</t>
  </si>
  <si>
    <t>% PCF attrib Pts OV/yr at non-PCF PCPs Pract.</t>
  </si>
  <si>
    <t>This is the leakage percent.</t>
  </si>
  <si>
    <t>Flat Visit Fee</t>
  </si>
  <si>
    <t>Leak/risk PPBM</t>
  </si>
  <si>
    <t>FVF/Qtr DRE</t>
  </si>
  <si>
    <t>DRE</t>
  </si>
  <si>
    <t>Same as CMMI calc slide 23 6.27.19</t>
  </si>
  <si>
    <t>Different re CMMI slide 23--altho they are using a quarter, the #OV they use is 1200 our of 4240 total PCF Ovs</t>
  </si>
  <si>
    <t>I used 25% of 4240, or 1060 OV in one quarter</t>
  </si>
  <si>
    <t>Their leakage calculation uses PCF visits bases on 4240/yr</t>
  </si>
  <si>
    <t>Their Flat Visit Fee uses a quarterly OV # of 1200 (or 4800/yr)</t>
  </si>
  <si>
    <t>Not consistent math…</t>
  </si>
  <si>
    <t>This matched the calulator output</t>
  </si>
  <si>
    <t>Validation of Calculator based on CMMI PCF Update Webinar 6.27.19, Slide 23.</t>
  </si>
  <si>
    <t>Same leakage and RG adjusted PPBM for Calc and Slide 23.</t>
  </si>
  <si>
    <t>CMMI FVF Revenue/qtr based on 1200 OV (not 4240/4, or 1060, the correct number</t>
  </si>
  <si>
    <t>Same as CMMI PPBM $/Qtr based on 800 beneficiaries</t>
  </si>
  <si>
    <t>FVF/Qtr CMMI</t>
  </si>
  <si>
    <t>DRE Base Qtr</t>
  </si>
  <si>
    <t>Base Qtr pmt</t>
  </si>
  <si>
    <t>50% Adjust</t>
  </si>
  <si>
    <t>TPCP/qtr</t>
  </si>
  <si>
    <t xml:space="preserve">This is based on 800 pts, 4240 PCF OV/yr </t>
  </si>
  <si>
    <t>CMMI Base/q</t>
  </si>
  <si>
    <t>This is based on 800 pts, 4240 PCF OV/yr but 1200 OV/qtr</t>
  </si>
  <si>
    <t>Percent Non-Attributed MCR Patients</t>
  </si>
  <si>
    <t>Number Non-Attributed MCR Patients</t>
  </si>
  <si>
    <t>PCF Practice Revenue from Non-Attrib. MCR Pts</t>
  </si>
  <si>
    <t>Change PMPM to PBPM (professional population based payment)</t>
  </si>
  <si>
    <t>NOTE:  the PBPM x # Beneficiaries = Professional Population-Based Payment (PPBP)</t>
  </si>
  <si>
    <t>SIP Model</t>
  </si>
  <si>
    <t>1st Visit Fee</t>
  </si>
  <si>
    <t>PBPM</t>
  </si>
  <si>
    <t>Quality Adjustment</t>
  </si>
  <si>
    <t>SIP notes:</t>
  </si>
  <si>
    <t>Practice must be forvide primary care services--directly or by partnering with a PCF Practice</t>
  </si>
  <si>
    <t>SIP patients must be linked to Primary Care or PCF practice after 12m</t>
  </si>
  <si>
    <t>Q Adjustment is either added to the PBPM or subtracted from the PBPM depending on performance</t>
  </si>
  <si>
    <t>Q Measures include AHU, CAHPS, and Advanced Care Plan (other measures are being evaluated)</t>
  </si>
  <si>
    <t>High Need Patient Population Payment Model</t>
  </si>
  <si>
    <t>PCF Option 3:  PCF &amp; Seriously Ill Population</t>
  </si>
  <si>
    <t>Initial Office Visit Fee</t>
  </si>
  <si>
    <t>SIP PBPM</t>
  </si>
  <si>
    <t>Higher Risk Patient Impact (non-SIP)</t>
  </si>
  <si>
    <t>Quality Adjustment Performance</t>
  </si>
  <si>
    <t>Avg. Number of SIP Patients/12 Months</t>
  </si>
  <si>
    <t>Adjusted SIP PBPM</t>
  </si>
  <si>
    <t>Incremental Revenue/mo (SIP Patients)</t>
  </si>
  <si>
    <t>Incremental Revenue/yr (SIP Patients)</t>
  </si>
  <si>
    <t>Seriously Ill Populations &amp; PCF</t>
  </si>
  <si>
    <t>(PCF Payment Model Option 3)</t>
  </si>
  <si>
    <t>Medicare FFS "PBPM Equivalent"</t>
  </si>
  <si>
    <t>This percent reflects the practice attributed pts actually seen by the PCF practice.</t>
  </si>
  <si>
    <t>Change in OV/yr due to PCF Pt CM</t>
  </si>
  <si>
    <t>Yellow Background = PCF Variables</t>
  </si>
  <si>
    <t>Bnchmrk Not Met</t>
  </si>
  <si>
    <t>Seriously Ill Population &amp; PCF:  REVENUE CALCULATOR</t>
  </si>
  <si>
    <t>Practice Derived Input Data</t>
  </si>
  <si>
    <t>Primary Care First Input Data</t>
  </si>
  <si>
    <t>PCF Practice Additional Overhead</t>
  </si>
  <si>
    <t>MCR CCM Fee Revenue/year</t>
  </si>
  <si>
    <t>Medicare CCM Fee Revenue/year</t>
  </si>
  <si>
    <t>C adjust</t>
  </si>
  <si>
    <t>Max CI</t>
  </si>
  <si>
    <t>Corrected CI</t>
  </si>
  <si>
    <t>Final CI</t>
  </si>
  <si>
    <t>Final Coh Adj</t>
  </si>
  <si>
    <t>Medicare Fee For Service Revenue per Year (gross)</t>
  </si>
  <si>
    <t>Gross PCF vs. Medicare FFS Revenue/Provider FTE/yr</t>
  </si>
  <si>
    <t>Gross PCF vs. Medicare FFS Revenue/Practice/yr</t>
  </si>
  <si>
    <t>Net PCF Practice Revenue/yr (after overhead expenses)</t>
  </si>
  <si>
    <t>Gross PCF Revenue = PCF revenue/yr - Medicare FFS revenue/yr (cells highlighted with GREEN background) not including any additional practice overhead that may be required for successful participation in PCF.</t>
  </si>
  <si>
    <t xml:space="preserve">Total incremental revenue for a PCF Practice also participating in SIP (PCF Payment Model Option 3). </t>
  </si>
  <si>
    <t xml:space="preserve">RFA </t>
  </si>
  <si>
    <t>&lt;1.2</t>
  </si>
  <si>
    <t>HCC Avg</t>
  </si>
  <si>
    <t>Total PBPM</t>
  </si>
  <si>
    <t>Est</t>
  </si>
  <si>
    <t xml:space="preserve">Est PBPM </t>
  </si>
  <si>
    <t>Group 7</t>
  </si>
  <si>
    <t>Group 1</t>
  </si>
  <si>
    <t>Group 2</t>
  </si>
  <si>
    <t>Group 3</t>
  </si>
  <si>
    <t>Group 4</t>
  </si>
  <si>
    <t>Group 5</t>
  </si>
  <si>
    <t>Group 6</t>
  </si>
  <si>
    <t>Top 10%</t>
  </si>
  <si>
    <t>11%-20%</t>
  </si>
  <si>
    <t>21%-30%</t>
  </si>
  <si>
    <t>31%-40%</t>
  </si>
  <si>
    <t>41%-50%</t>
  </si>
  <si>
    <t>51%-75%</t>
  </si>
  <si>
    <t>Value FOV*</t>
  </si>
  <si>
    <t>&lt;Lowest Quartile</t>
  </si>
  <si>
    <t>&lt;Lowest 25%</t>
  </si>
  <si>
    <t>Top 11%-20%</t>
  </si>
  <si>
    <t>Top 21%-30%</t>
  </si>
  <si>
    <t>Top 31%-40%</t>
  </si>
  <si>
    <t>Top 41%-50%</t>
  </si>
  <si>
    <t>Top 51%-75%</t>
  </si>
  <si>
    <t>PRACTICE Performance:  Gateways</t>
  </si>
  <si>
    <t xml:space="preserve"> </t>
  </si>
  <si>
    <t>If Practice FAILS the Quality Gateway (REGARDLESS of National AHU Gateway performance), the PBA will be based only on Regional AHU Performance:  AHU &gt;Lowest Quartile, PBA = 0%;  AHU &lt;Lowest Quartile, PBA -10% (p25).   Practice is NOT eligible for the CI Bonus (p26).</t>
  </si>
  <si>
    <t>Regional AHU Adj.</t>
  </si>
  <si>
    <t>Regional AHU Performance &gt;Lowest Quartile</t>
  </si>
  <si>
    <t>Regional AHU Performance  = Lowest Quartile</t>
  </si>
  <si>
    <t>Regional AHU Performance</t>
  </si>
  <si>
    <t>Continuous Improvement Performance</t>
  </si>
  <si>
    <t>Continuous Improvement Adjustment (potential)</t>
  </si>
  <si>
    <t xml:space="preserve">Regional AHU Performance Adjustment </t>
  </si>
  <si>
    <t>Region. Adjust</t>
  </si>
  <si>
    <t>Final Reg. Adj</t>
  </si>
  <si>
    <t>Total PBA as % TPCP</t>
  </si>
  <si>
    <t>Continuous Improvement Perfomance Adjustment*</t>
  </si>
  <si>
    <t xml:space="preserve">          *Benchmark = Practice-specific improvement threshold</t>
  </si>
  <si>
    <t>Average MCR OV/Year Risk Grp 1 (National)</t>
  </si>
  <si>
    <t>Professional Pop-Based Payment (PPBP)/mo--Risk-Adjusted</t>
  </si>
  <si>
    <t>SIP Flat Office Visit Fee Revenue/yr</t>
  </si>
  <si>
    <t>TOTAL Performance Based Adjustment (PBA)</t>
  </si>
  <si>
    <t xml:space="preserve"> Regional AHU Performance Adjustment (max)</t>
  </si>
  <si>
    <t>Quality Gateway:  Met or Exceeded (or NA)?</t>
  </si>
  <si>
    <t>N  (Yr 2)</t>
  </si>
  <si>
    <t>N  (Yr 3)</t>
  </si>
  <si>
    <t>NA  (Yr 1)</t>
  </si>
  <si>
    <t>TEST</t>
  </si>
  <si>
    <t>Regional Groups</t>
  </si>
  <si>
    <t xml:space="preserve">Practice Performance </t>
  </si>
  <si>
    <t>Bonus % of TPCP*</t>
  </si>
  <si>
    <t xml:space="preserve">*Applies only to Practices in Top 50% National AHU. </t>
  </si>
  <si>
    <t>CI Bonus % of TPCP**</t>
  </si>
  <si>
    <t>**Applies only to Practices exceeding the Quality Gateway (and to all practices in Year 1)</t>
  </si>
  <si>
    <t>Est OV/yr**</t>
  </si>
  <si>
    <t>**FOV ($40.82) + CoPay (~$18) =</t>
  </si>
  <si>
    <t>OV/yr*</t>
  </si>
  <si>
    <t>*Per PCF RFA p21 10.24.19</t>
  </si>
  <si>
    <t>*Based on Est PBPM value of Flat OV (RFA p21)</t>
  </si>
  <si>
    <t>Average MCR Patient's Co-Insurance payment</t>
  </si>
  <si>
    <t>Flat Primary Care Visit Fee (includes Co-Insurance payment)</t>
  </si>
  <si>
    <t>Average Medicare Pt FFS pmt/OV (includes Co-Insurance payment)</t>
  </si>
  <si>
    <t>High Quality (&gt;70th%): the practice gets the $50 withhold and $50 Q bonus</t>
  </si>
  <si>
    <t>Satisfactory Quality (50th-70th%):  $50 withhold paid but no Q Bonus</t>
  </si>
  <si>
    <t>Low Quality (&lt;50th%):  $50 withhold NOT paid, not eligible for Quality Bonus</t>
  </si>
  <si>
    <t>Satisfactory</t>
  </si>
  <si>
    <t>Low</t>
  </si>
  <si>
    <t>High</t>
  </si>
  <si>
    <t>Average Length of SIP Attribution:  Goal is &lt;= 8 months</t>
  </si>
  <si>
    <t>Withhold and Quality Adjustment (SIP PBPM)</t>
  </si>
  <si>
    <t>SIP PBPM (after Withhold)</t>
  </si>
  <si>
    <t>Practice fails to meet the SIP Performance Criteria (thresholds): no Withhold of Quality payments.</t>
  </si>
  <si>
    <t>Practice meets the SIP Performance Criteria:  If Quality is Satisfactory, then Practice receives the $50 PBPM Withhold only; If Quality is high, the Practice receives both the $50 PBPM Withhold and $50 Quality Bonus ($100 PBPM total)</t>
  </si>
  <si>
    <t># OV/yr/Attrib Pts: PCF practice (w/Leakage)</t>
  </si>
  <si>
    <t>MCR FFS Pmt</t>
  </si>
  <si>
    <t>Co-Ins Pmt</t>
  </si>
  <si>
    <t>Total MCR FFS</t>
  </si>
  <si>
    <t>N</t>
  </si>
  <si>
    <t>Practice Risk Group (Average HCC Risk)</t>
  </si>
  <si>
    <t>Quality Gateway: Meet or Exceed (note: options vary by year):</t>
  </si>
  <si>
    <t>National AHU Benchmark Gateway:  Meet or Exceed 50%</t>
  </si>
  <si>
    <t>Regional Continuous Improvement Performance</t>
  </si>
  <si>
    <t>TOTAL Incremental Practice Overhead for PCF</t>
  </si>
  <si>
    <t>CI Adjustment (Final)</t>
  </si>
  <si>
    <t>PCF Revenue per Year (gross)--includes PCF only and PCF/SIP practices</t>
  </si>
  <si>
    <t>SIP Quality Measures Performance</t>
  </si>
  <si>
    <t>Withhold &amp; Quality Adjustment Impact (PBPM)</t>
  </si>
  <si>
    <t>SIP Flat Office Visit Fee ($40.82 + $18 Co-Ins) Revenue/yr</t>
  </si>
  <si>
    <t>Practice Risk Groups (Based on Avg HCC)</t>
  </si>
  <si>
    <t>HCC 1.2-1.5</t>
  </si>
  <si>
    <t>HCC 1.5-2.0</t>
  </si>
  <si>
    <t>HCC &gt; 2.0</t>
  </si>
  <si>
    <t>Calc'd</t>
  </si>
  <si>
    <t>Final PBA</t>
  </si>
  <si>
    <t>Final PBA*</t>
  </si>
  <si>
    <t>Practice Risk Group</t>
  </si>
  <si>
    <t xml:space="preserve">Avgerage OV/MCR pt/yr </t>
  </si>
  <si>
    <t>PCF Practice Risk Group</t>
  </si>
  <si>
    <t>National AHU Benchmark Gateway:  &gt;=50%?</t>
  </si>
  <si>
    <t>Risk Group 2  (HCC 1.2-1.5)</t>
  </si>
  <si>
    <t xml:space="preserve"> Risk Group 1       (HCC &lt;1.2)</t>
  </si>
  <si>
    <t>Risk Group 3  (HCC 1.5-2.0)</t>
  </si>
  <si>
    <t>Risk Group 4      (HCC &gt; 2.0)</t>
  </si>
  <si>
    <t>*"Risk Groups" not to be confused with "Regional Groups"</t>
  </si>
  <si>
    <t>HCC &lt;1.2</t>
  </si>
  <si>
    <t>Avg. HCC/Practice</t>
  </si>
  <si>
    <t>Practice Risk Groups</t>
  </si>
  <si>
    <t>Performance percentile ranges (AHU and Continuous Improvement) &amp; adjustments to TPCP:</t>
  </si>
  <si>
    <t>Regional AHU Performance Adjustment (Final)</t>
  </si>
  <si>
    <t>Care Manager, Add'l Staff, Non-Revenue Ops &amp; Leadership</t>
  </si>
  <si>
    <t>PCF Payment Model Option 3</t>
  </si>
  <si>
    <t>For Scenario #1, the average number of Office Visits (OV's) per year per beneficiary is based on national CMS data and is risk adjusted automatically.  Custom Case #2 allows the practice to insert their own average beneficiary OV's per year based on practice-derived data.</t>
  </si>
  <si>
    <t>See PCF Revenue Calculator Instructions.  Practices that fail to meet or exceed the National AHU Gateway may still quality for AHU Continuous Improvement bonuses unless, in Years 3-5, they fail to meet or exceed the Quality Gateway.</t>
  </si>
  <si>
    <t>These fields allow for prospective PCF practices to input the anticipated new staff roles required for succesful participation in PCF.  These "overhead" costs do not include pre-existing operational or staffing costs prior to participation in PCF.</t>
  </si>
  <si>
    <t xml:space="preserve">The Regional AHU Performance adjustment is 6.5%-34% if the practice is in the top 50% Nationally and 0.0% if AHU is in lower 50% of practices Nationally AND above the 25th% in the Regional Cohort; if a practice is in the Lower 50% Nationally and below the 25th% in the Regional Cohort, the PBA is between -10% and -6.5% depending on its Continous Improvement performance. </t>
  </si>
  <si>
    <t>Performance Criteria Met?  (Attribution Length &amp; Transition Success)</t>
  </si>
  <si>
    <t xml:space="preserve">Performance Criteria Met? </t>
  </si>
  <si>
    <t xml:space="preserve"> Both Attribution Length &amp; Transition Success</t>
  </si>
  <si>
    <t>Medicare Patients eligible for CCM PBPM payment (percent)</t>
  </si>
  <si>
    <t>Medicare Patients eligible/billed for CCM PBPM payment (percent)</t>
  </si>
  <si>
    <t>This field is for practices to enter the historical, estimated or projected percent of their Medicare patient panel eligible for the Chronic Care Management and PBPM fee ($42 PBPM) under the Medicare fee schedule.</t>
  </si>
  <si>
    <t>Medicare CCM PBPM for High Risk Patients</t>
  </si>
  <si>
    <t>This variable allows for specifying the risk group level of the additional high(er) risk patients.  For the purposes of this Calculator, the CCM PBPM is automatically added to the Medicare FFS revenue calculations when the average HCC for these "Higher Risk Patients" is &gt;2.0 (Risk Group 4).</t>
  </si>
  <si>
    <t>Net PCF or PCF/SIP Practice Revenue/yr (after overhead expenses)</t>
  </si>
  <si>
    <t xml:space="preserve">Net PCF Practice Revenue = potential gross Practice revenue from PCF or PCF/SIP compared to MCR FFS revenue MINUS Practice's total additional overhead required for PCF successful participation.  Examples may include full or part-time Care Manager, an additional MA to the care team, patient navigator, etc. These overhead costs do not apply to pre-existing "advance primary care" investments a practice may have already made. </t>
  </si>
  <si>
    <t>Total Patient Attribution (Practice Data, All Payers)</t>
  </si>
  <si>
    <t>The Medicare CCM Fee Revenue per Year assumes all of the CCM eligible Medicare Beneficiaries are billed for this service.  NOTE: Payment for chronic care management services within the PCF program is included in the PBPM of the Professional Population Based Payment;  CCM CPT charges are not paid independently within the PCF payment model.</t>
  </si>
  <si>
    <t>Medicare CCM PBPM</t>
  </si>
  <si>
    <t>(Examples roles and total $/yr)</t>
  </si>
  <si>
    <t>Non Revenue Operations (e.g., QI mtgs)</t>
  </si>
  <si>
    <t>If Practice exceeds BOTH the AHU and Quality Gateways (Year 1 performance), eligible for PBA -10% to 50% based on Regional and CI Performance. The CI Bonus CANNOT exceed the maximum CI % of TPCP for a given Performance Group (i.e., 1/3 of the TPCP; see RFA p27).</t>
  </si>
  <si>
    <t>If Practice exceeds the Quality but fails the Nat'l Gateway, the PBA will be based only on Regional AHU Performance:  AHU &gt;Lowest Quartile, PBA = 0%;  AHU &lt;Lowest Quartile, PBA -10% (RFA p25).  Practice IS eligible for CI Bonus (P26) but this Bonus CANNOT exceed 3.5%.</t>
  </si>
  <si>
    <t>In Year 1, the Quality Gateway does not apply and the PBA is based on the National AHU Gateway and Continuous Improvement Performance.  If the AHU Gateway is passed, the PBA bonus is based entirely on Regional AHU and CI Performance.  The CI Bonus CANNOT exceed the maximum CI % of TPCP for a given Performance Group (i.e., 1/3 of the TPCP; see RFA p27).</t>
  </si>
  <si>
    <t>Quality/Nat'l AHU Gateways Passed:  Y/Y (Yr 2&amp;3)</t>
  </si>
  <si>
    <t>Quality/Nat'l AHU Gateways Passed:  Y/N (Yr 2&amp;3)</t>
  </si>
  <si>
    <t>Quality/Nat'l AHU Gateways Passed:  NA (Yr 1)/Y</t>
  </si>
  <si>
    <t>Quality/Nat'l AHU Gateways Passed:  NA (Yr 1)/N</t>
  </si>
  <si>
    <t>Quality/Nat'l AHU Gateways Passed:  N (Yr 2)/Y</t>
  </si>
  <si>
    <t>Quality/Nat'l AHU Gateways Passed:  N (Yr 3)/Y or N</t>
  </si>
  <si>
    <t>In Year 1, the Quality Gateway does not apply and the PBA is based on the National AHU Gateway and Continuous Improvement Performance.  If the AHU Gateway is NOT passed, the PBA bonus is based entirely on Regional AHU and CI Performance.  If Regional AHU Performance is &gt;Lowest Quartile, then the Regional AHU Bonus is 0%; otherwise this Regional AHUPerformance adjustment is -10%.  The CI Bonus with this Gateway combination (Quality NA for Year 1/AHU No) CANNOT exceed 3.5%.</t>
  </si>
  <si>
    <t>Quality/Nat'l Gateways Passed:           N (Yr 2)/N</t>
  </si>
  <si>
    <t>For Years 3-5, if the Quality Gateway is not met or exceeded, the PBA is -10% regardless of AHU National Gateway or Regional performance.  Practice is NOT eligible for the CI Bonus (p26).</t>
  </si>
  <si>
    <t>The Practice's Risk Group is determined by CMS and based on the practice-specific Medicare Panel Risk derived from the average aggregated HCC coding for the Practice's attributed ("aligned") Medicare patients.  Info from CMS indicates that a significant majority of PCF PCP practices will be assigned to risk stratified Group 1 ($28 Per Beneficiary Per Month or PBPM).</t>
  </si>
  <si>
    <t>These 7 percentile ranges reflect the measured PCF practice AHU performance relative to other Regional Practices. These percentiles ranges then translate into AHU performance adjustments ("Bonuses") up to 34% of the Total Primary Care Payment.  For the use of this calculator, a practice should estimates it's anticipated performance in different scenarios. Note: these "Bonuses as a Percent of TPCP" apply only to practices that meet or exceed the "National AHU Gateway" (threshold) compared to all Medicare PCP providers nationally. Importantly, AHU is a volume- not cost-based measure.</t>
  </si>
  <si>
    <t xml:space="preserve">These 7 percentile ranges (including a "Benchmark Not Met" option for CI Benchmarks unique to each PCF practice) reflect the measured practice AHU Continuous Perforamance againsts its own benchmark goals and relative to that of other Regional Practices.  These percentiles ranges are then translated into adjustments up tp 16% of the Total Primary Care Payment.  Note: this "bonus" cannot be more than 1/3 of the TPCP.  These AHU CI Bonuses apply to practices that meet or exceed the Quality Gateway (and to all practices in Year 1 of participation).  </t>
  </si>
  <si>
    <t xml:space="preserve">This "advanced business modeling" for PCF Practices considers the revenue impact of adding a specific number of high(er) risk patients to the Practice's PCF panel compared to Medicare Fee For Service.  Here it is important to understand that adding Higher Risk Patients to a PCF practice is unlikely to change the Practice Risk Group, and therefore the PBPM for its entire panel of PCF patients.  On the other hand, within a Medicare FFS practice, these higher risk patients will be billed at higher CPT rates per OV and will likely be eligible for CCM billing as well. </t>
  </si>
  <si>
    <t>A Continuous Improvement Adjustment may be earned by any PCF practice, regardless of AHU National or Regional AHU performance in Year 1, and, for years 2-5, as long as the practice meets or exceeds the Quality Gateway (the Quality Gateway begins in Year 2). In Year 1, if a practice fails the National AHU Gateway, then the maximum CI Bonus is 3.5%. If a practice meets or exceeds the Quality Gateway in Years 2-5 but fails the National AHU Gateway, the CI Bonus is limited to a maximum of 3.5%.  Failing to meet or exceed the Quality Gateway during Years 3-5 will result in a PBA of -10% (regardless of performance on CI or AHU Nationally or Regionally).  In all years, the Continuous Improvement Bonus can be no larger than 1/3rd the PBA applied to the Total Primary Care Payment.</t>
  </si>
  <si>
    <t>The Total Performance Based Adjustment (PBA) is the sum of the final Regional AHU Practice Performance Bonus percent and the CI Bonus Percent, both of which are subject to the practice's performance on the Quality and National AHU Gateways and on AHU compared to Regional practices (i.e., better or worse than the Lowest Quartile).</t>
  </si>
  <si>
    <t>The Medicare "PBPM Equivalent" = the Average Medicare FFS payment per Beneficiary OV x the Average risk adjusted Medicare OV per Year/12 months. This figure is adjusted for the "leakage" effect.</t>
  </si>
  <si>
    <t>The Total Primary Care Payment is the sum of the annualized Flat Primary Care Visit Fee as a "PBPM Equivalent" and the Leakage- and Risk-Stratified PBPM before application of the Total Performance Based Adjustment (PBA).</t>
  </si>
  <si>
    <t>The Full PCF Payment PBPM is the TPCP x the total PBA.  This is the final monthly, risk-stratified and performance-adjusted payment per beneficiary per month.</t>
  </si>
  <si>
    <t>Medicare FFS Revenue/yr is the number of attributed Medicare patients x number of OV/yr x the average Medicare Pt FFS payment per office visit.  It will include revenue from any additional high(er) risk patients beyond the initial number of Medicare attributed patients and from CCM revenue for eligible and billed Medicare patients.</t>
  </si>
  <si>
    <t>Primary Care First Revenue/yr = # attributed PCF pts x number of OV/yr x the Full PCF Payment PBPM.   It will include revenue from any additional high(er) risk patients beyond the initial number of PCF-attributed patients.  Also, this PCF Revenue/year will include the incremental revenue from Seriously Ill Patients (SIP) patients for those practices participating in PCF Payment Model Option 3 (both PCF and SIP).   Finally, this PCF Revenue/year includes the Medicare FFS revenue from non-PCF attributed Medicare patients.</t>
  </si>
  <si>
    <t>The Gross PCF vs. Medicare FFS Revenue per year divided by the number of FTE providers.</t>
  </si>
  <si>
    <t>Incremental number of Seriously Ill Patinets (SIP) patients assigned to a PCF practice participating in PCF Payment Model Option 3 (PCF + SIP).  Note that these SIP patients will not be factored into the Medicare FFS Scenario comparator.</t>
  </si>
  <si>
    <t>If SIP Practice meets the performance criteria for both the Average Length of SIP Attribution and the Rate of Care Transitions Success, then it is eligible for return of the $50 withhold and for a $50 Q Bonus.</t>
  </si>
  <si>
    <t>The incremental PBPM paid to the practice if it meets the Performance Criteria and according to its SIP Quality Measure Performance.</t>
  </si>
  <si>
    <t>The sum of the base SIP PBPM ($225) and the withhold and quality bonus, if any.</t>
  </si>
  <si>
    <t>The projected additional yearly revenue from SIP patients, assigned and accepted by the practice, reflecting the SIP PBPM, the Flat Visit Fee revenue, the initial SIP OV fees, whether the practice met the Performance Criteria and how the practice performed on the SIP Quality Measures (to earn the $50 withhold and the $50 Quality Bonus).</t>
  </si>
  <si>
    <t>*Algorithm Design Comments:</t>
  </si>
  <si>
    <t xml:space="preserve">For each of the two Custom Case Scenarios, the 7 algorithms ("Quality/Nat'l AHU Thresholds" combinations) generates a zero value in the Final PBA column except for the Threshold statement that matches the Quality/Nat'l AHU Gateway Passed input (e.g., Y/Y, Y/N, NA/Y etc.) of the respective Custom Case Scenario. As such, the sum of the 7 algorithm PBA results equals the "Total PBA as % of TPCP". </t>
  </si>
  <si>
    <t>Average PCF Pt OV per Year (w/CM adj.)</t>
  </si>
  <si>
    <t>Average Visits/PCF Pt per Year (w/Enhanced Care Mnmt)</t>
  </si>
  <si>
    <t>Medicare Pts eligible/billed for CCM PBPM payment (percent)</t>
  </si>
  <si>
    <t>PCF Care Management Impact on OV/yr</t>
  </si>
  <si>
    <t>Leakage Adjustment: % PCF-attributed Pts OV/yr by non-PCF PCPs</t>
  </si>
  <si>
    <t>Alignment Adjustment: PCF MCR Pts Attribution Concordance</t>
  </si>
  <si>
    <t xml:space="preserve">The Medicare Beneficiary (patient) attribution number per practice is the practice's total attributed patients (all payers) multiplied by the Medicare Beneficiaries percent. These input numbers can be modified in each Scenario  based on attribution data from the practice's management software.  Note that the the PCF Medicare (MCR) beneficiary attribution (alignment) will be determined by "CMS Alignment" methodology (Voluntary and Claims-Based methodologies) which may or may not equal the attribution numbers derived by the practice (see "PCF Beneficiary Attribution Concordance" below). </t>
  </si>
  <si>
    <t>Medicare Pt Attribution--Percent (Practice Data)</t>
  </si>
  <si>
    <t>Medicare Pt Attribution ("Alignment")--Practice Data</t>
  </si>
  <si>
    <t>Number of Additional Higher Risk Patients (non-SIP)</t>
  </si>
  <si>
    <t>Additional High Risk Patients (non-SIP): Risk Group</t>
  </si>
  <si>
    <t>Additional High Risk Patients (non-SIP): Risk Group (Average HCC)</t>
  </si>
  <si>
    <t>CI Adjustment Final (=&lt; 1/2 Regional Performance %)</t>
  </si>
  <si>
    <t xml:space="preserve"> Regional AHU Performance Adjustment Final</t>
  </si>
  <si>
    <t>Regional AHU Performance Adjustment Final</t>
  </si>
  <si>
    <t>CI Adjustment Final</t>
  </si>
  <si>
    <t>Total Primary Care Payment PBPM (TPCP)--prior to PBA</t>
  </si>
  <si>
    <t>Full PCF Payment PBPM (TPCP x PBA)</t>
  </si>
  <si>
    <t>Medicare Pt Attribution w/Alignment &amp; Leakage Adjustments</t>
  </si>
  <si>
    <t>Medicare Pt Atrribution w/Leakage Adjustment</t>
  </si>
  <si>
    <t>PCF Patient Leakage Adjustment is the Percent of Total Office Visits by PCF-Attributed Patients that are billed Office Visits at Non-PCF Primary Care Practices per year (namely, the percent of primary care services for PCF-Attributed Patients not happening at the PCF Practice).  These "leakage patients" impact multiple Medicare FFS and PCF outputs including the number of office visits per year and yearly revenue calculations.</t>
  </si>
  <si>
    <t>Medicare Pt Attribution w/Leakage Adjustment</t>
  </si>
  <si>
    <t>This is the Practice's Medicare Pt Attribution (practice data) modified by the "Leakage Adjustment" percent (i.e., the percent of attributed patients' primary care services that occur outside of the PCF practice).  See Row 6 above.</t>
  </si>
  <si>
    <t xml:space="preserve">Use this field to estimate the impact of enhanced care management services on the average number of PCF pt office visits per year. The actual impact of PCF practice care management on office visits per year may be variable and can increase (if there is improved outreach and follow-up) or decrease (if, for instance, there is more non-visit care that does not necessarily generate revenue per encounter).  Under prepaid (capitatation-like payment models), OVs/year tend to drop, at least in part due to care management. In a JABFP article by W Pearson, July 2013, the drop was -23% for &gt;75% capitation compared to &lt;25% capitation (4.8 to 3.7 OV/year).  </t>
  </si>
  <si>
    <t>This is the risk stratified number of average visits per PCF patient per year times the estimated percent change in rate of office visits change based on enhanced care management of the PCF Practices attributed Medicare population.  See Row 8 above.</t>
  </si>
  <si>
    <r>
      <t xml:space="preserve">PCF Patient OV/year </t>
    </r>
    <r>
      <rPr>
        <sz val="12"/>
        <color theme="1"/>
        <rFont val="Calibri (Body)"/>
      </rPr>
      <t>(w/Leak, Align, CM Adj)</t>
    </r>
  </si>
  <si>
    <r>
      <t>MCR FFS Rev/yr (gross)</t>
    </r>
    <r>
      <rPr>
        <sz val="12"/>
        <color theme="1"/>
        <rFont val="Calibri (Body)"/>
      </rPr>
      <t>(w/Leak, Non SIP HR Pts, CCM)</t>
    </r>
  </si>
  <si>
    <t>Medicare Pt Attribution--Adjusted per MCR "Alignment"</t>
  </si>
  <si>
    <t>Practice Characteristics</t>
  </si>
  <si>
    <t>Assumptions/Reference Data  (do not change)</t>
  </si>
  <si>
    <t xml:space="preserve">     Impact:    #1 vs. #2</t>
  </si>
  <si>
    <t>NOTE: Click anywhere to return to the Caculator</t>
  </si>
  <si>
    <t>PRACTICE Performance:  Percentiles</t>
  </si>
  <si>
    <t>Patient Attribution</t>
  </si>
  <si>
    <t>Office Visits per Year</t>
  </si>
  <si>
    <t>Medicare FFS Revenue</t>
  </si>
  <si>
    <t>Medicare FFS Inputs</t>
  </si>
  <si>
    <t>PRACTICE Performance Adjustments</t>
  </si>
  <si>
    <t>Patient Attribution--Final</t>
  </si>
  <si>
    <t>PCF Model Revenue</t>
  </si>
  <si>
    <t>Medicare FFS vs. PCF Model Revenue</t>
  </si>
  <si>
    <t>Modeling Outputs</t>
  </si>
  <si>
    <t xml:space="preserve">Average MCR FFS Est Pt payment </t>
  </si>
  <si>
    <t>This Average Medicare Patient Fee-For-Service Payment per Office Visit for Scenario #1 is based on National data reflecting the average PCP payment per Medicare beneficiary per Office Visit ($93, inclusive of the Co-Insurance payment of $18).  This average FFS Medicare payment can be modified in Scenario #2.</t>
  </si>
  <si>
    <t>The Flat Primary Care Visit Fee is the PCF Medicare payment per OV ($40.82) plus the Co-Insurance ($18) paid by the patient.  The Co-Insurance fee is calciulated as 20% of the Physician Fee Scale for the HCPCS code that would be billed for the same office visit--namely, 20% of the average Medicare FFS office visit payment). CMS has indicated they may adjust the Flat Primary Care Visit Fee fee upward or downward based on regional economic variables.  The PCF RFA also indicates that PCF Practices may be permitted, upon CMS approval, to waive the Co-Insurance pauyments for certain subpopulations of Benficiaries.  Practices that elect to grant waivers will, of course, see a reduction in their per visit Flat Visit Fee revenue.</t>
  </si>
  <si>
    <t>CPT (est. pmt)</t>
  </si>
  <si>
    <t>#OV/yr per HCC risk level</t>
  </si>
  <si>
    <t>Higher risk pts are assumed have HCC scores &gt;1.5 and that all these patients would qualify for CCM monthly fees of $42/patient.  Comparing impact of these incremental higher risk patients under MCR FFS and PCF, the same number of HCC-adjusted OV's per patient are used for each payment model.</t>
  </si>
  <si>
    <t>Co-Insurance Waiver (percent of PCF aligned pts)</t>
  </si>
  <si>
    <t>Flat Primary Care Visit Fee + Co-Insurance</t>
  </si>
  <si>
    <r>
      <t xml:space="preserve">Flat PC Visit Fee + Co-Ins "PBPM Equivalent" </t>
    </r>
    <r>
      <rPr>
        <sz val="12"/>
        <color theme="1"/>
        <rFont val="Calibri (Body)"/>
      </rPr>
      <t>(w/CM Adj)</t>
    </r>
  </si>
  <si>
    <t>Co-Insurance Waiver</t>
  </si>
  <si>
    <r>
      <t xml:space="preserve">PCF Rev/yr </t>
    </r>
    <r>
      <rPr>
        <sz val="12"/>
        <color theme="1"/>
        <rFont val="Calibri (Body)"/>
      </rPr>
      <t>(PBA, Align,Leak, non-SIP HR, SIP, non-Att MCR,CM,</t>
    </r>
    <r>
      <rPr>
        <b/>
        <sz val="12"/>
        <color theme="1"/>
        <rFont val="Calibri (Body)"/>
      </rPr>
      <t>+/-Waiver</t>
    </r>
    <r>
      <rPr>
        <sz val="12"/>
        <color theme="1"/>
        <rFont val="Calibri (Body)"/>
      </rPr>
      <t>)</t>
    </r>
  </si>
  <si>
    <t>Medicare Pt Attribution--Practice Data</t>
  </si>
  <si>
    <t>CMS will permit practices to reduce or waive the applicable co-insurance (which will be based on the FFS rate for services provided), with practices responsible for covering those costs, for specific subset(s) of aligned Beneficiaries defined by the practice and approved by CMS.  This provision is intended to reduce a financial barrier to care for specified high need patients.  This data input field is for a practice to model the revenue impact of waiving the Co-Insurance fee for a subset (percent) of their aligned MCR patients (after adjustment for leakage).</t>
  </si>
  <si>
    <t>See PCF Revenue Calculator Instructions.  The Quality Gateway does not apply to Year 1 of PCF participation (the Performance Based Adjustment--PBA--reflects only AHU performance). In Year 2 of participation, practices that fail to meet or exceed the Quality Gateway are not eligible for a Continuous Improvement Bonus and the PBA will be based only on Regional AHU Performance:  AHU &gt;Lowest Quartile, PBA = 0%;  AHU &lt;Lowest Quartile, PBA -10% (p25).  In Years 3-5, practices that fail to meet or exceed the Quality Gateway will automatically receive a PBA of -10%.</t>
  </si>
  <si>
    <t>PCF Business Case</t>
  </si>
  <si>
    <t>PCF Rev/yr (PBA, Align,Leak, CM)</t>
  </si>
  <si>
    <t>Co-Insurance Waiver Percent (of PCF aligned pts)</t>
  </si>
  <si>
    <t>Total PCF Co-Insurance revenue/OV/year (no waiver)</t>
  </si>
  <si>
    <r>
      <t>MCR Patient OV/year</t>
    </r>
    <r>
      <rPr>
        <sz val="12"/>
        <color theme="1"/>
        <rFont val="Calibri (Body)"/>
      </rPr>
      <t xml:space="preserve"> (w/Leak Adj)</t>
    </r>
  </si>
  <si>
    <t>TPCP PBPM--prior to PBA (w/CM Adj)--no Co-Ins</t>
  </si>
  <si>
    <t>TPCP PBPM--w/PBA (w/CM Adj)--no Co-Ins</t>
  </si>
  <si>
    <t>TPCP PBPM--w/PBA (w/CM Adj, Align, Leak) w/o Co-Ins/yr</t>
  </si>
  <si>
    <t>Gross FOV Fees and Gross PBP Revenue per Year</t>
  </si>
  <si>
    <t>Number of PCF Aligned Patient Visits per year</t>
  </si>
  <si>
    <t>Number of PCF Pts/yr w/ Co-Ins</t>
  </si>
  <si>
    <t>MCR Pt Attribution w/Alignment &amp; Leakage Adj</t>
  </si>
  <si>
    <t>Total PCF Rev/yr w/PBA, Align, Leak, +/-Waiver</t>
  </si>
  <si>
    <r>
      <t xml:space="preserve">Flat PC Visit Fee </t>
    </r>
    <r>
      <rPr>
        <b/>
        <sz val="12"/>
        <color theme="1"/>
        <rFont val="Calibri"/>
        <family val="2"/>
        <scheme val="minor"/>
      </rPr>
      <t>No Co-Ins</t>
    </r>
    <r>
      <rPr>
        <sz val="12"/>
        <color theme="1"/>
        <rFont val="Calibri"/>
        <family val="2"/>
        <scheme val="minor"/>
      </rPr>
      <t xml:space="preserve"> "PBPM Equivalent" </t>
    </r>
    <r>
      <rPr>
        <sz val="12"/>
        <color theme="1"/>
        <rFont val="Calibri (Body)"/>
      </rPr>
      <t>(w/CM Adj)</t>
    </r>
  </si>
  <si>
    <t>Gross FOV Fees per Year w/o Co Ins</t>
  </si>
  <si>
    <t>Gross FOV Fees per Year w/o Co Ins w/PBA</t>
  </si>
  <si>
    <r>
      <t>Full PCF Payment PBPM (</t>
    </r>
    <r>
      <rPr>
        <sz val="12"/>
        <color theme="1"/>
        <rFont val="Calibri"/>
        <family val="2"/>
        <scheme val="minor"/>
      </rPr>
      <t>TPCP x PBA) w/o Co-Ins</t>
    </r>
  </si>
  <si>
    <r>
      <t xml:space="preserve">Total Primary Care Payment PBPM + Co-Ins, prior to PBA </t>
    </r>
    <r>
      <rPr>
        <sz val="12"/>
        <color theme="1"/>
        <rFont val="Calibri (Body)"/>
      </rPr>
      <t>(w/CM Adj)</t>
    </r>
  </si>
  <si>
    <r>
      <t>Flat Primary Care Visit Fee,</t>
    </r>
    <r>
      <rPr>
        <b/>
        <sz val="12"/>
        <color theme="1"/>
        <rFont val="Calibri"/>
        <family val="2"/>
        <scheme val="minor"/>
      </rPr>
      <t xml:space="preserve"> No Co-Insurance</t>
    </r>
  </si>
  <si>
    <r>
      <t>TPCP PBPM N</t>
    </r>
    <r>
      <rPr>
        <b/>
        <sz val="12"/>
        <color theme="1"/>
        <rFont val="Calibri"/>
        <family val="2"/>
        <scheme val="minor"/>
      </rPr>
      <t>o Co-Ins</t>
    </r>
    <r>
      <rPr>
        <sz val="12"/>
        <color theme="1"/>
        <rFont val="Calibri"/>
        <family val="2"/>
        <scheme val="minor"/>
      </rPr>
      <t>--prior to PBA (w/CM Adj)</t>
    </r>
  </si>
  <si>
    <r>
      <t>Full PCF Payment PBPM (TPCP x PBA</t>
    </r>
    <r>
      <rPr>
        <sz val="12"/>
        <color theme="1"/>
        <rFont val="Calibri (Body)"/>
      </rPr>
      <t>; w/CM Adj,</t>
    </r>
    <r>
      <rPr>
        <b/>
        <sz val="12"/>
        <color theme="1"/>
        <rFont val="Calibri (Body)"/>
      </rPr>
      <t xml:space="preserve"> No Co-Ins</t>
    </r>
    <r>
      <rPr>
        <sz val="12"/>
        <color theme="1"/>
        <rFont val="Calibri"/>
        <family val="2"/>
        <scheme val="minor"/>
      </rPr>
      <t>)</t>
    </r>
  </si>
  <si>
    <t>PCF Revenue per Year--includes PCF only and PCF/SIP practices</t>
  </si>
  <si>
    <t>Medicare Fee For Service Revenue per Year</t>
  </si>
  <si>
    <t>Subotal PCF Rev per Year TOTAL w/PBA</t>
  </si>
  <si>
    <t>PCF vs. Medicare FFS Revenue/Practice/yr</t>
  </si>
  <si>
    <t>PCF vs. Medicare FFS Revenue/Provider FTE/yr</t>
  </si>
  <si>
    <t>PCF Attribution Concordance (practice-specific)</t>
  </si>
  <si>
    <t>TPCP x PBA PBPM (PCF)</t>
  </si>
  <si>
    <t>TPCP x PBA total revenue/yr</t>
  </si>
  <si>
    <t>TPCP x PBA total revenue/mo</t>
  </si>
  <si>
    <t>Co-Ins total revenue/yr</t>
  </si>
  <si>
    <t>Co-Ins total revenue/mo</t>
  </si>
  <si>
    <t>Total Incremental Revenue/mo (PCF)</t>
  </si>
  <si>
    <t>Total Incremental Revenue/yr (PCF)</t>
  </si>
  <si>
    <t>Number of PCF Pts/yr WITH Co-Ins Waiver</t>
  </si>
  <si>
    <t>Total PCF Co-Insurance revenue/year less WAIVER</t>
  </si>
  <si>
    <t>Total FOV Fees w/PBA + Co-Ins Rev</t>
  </si>
  <si>
    <t>Subotal Gross PCF Rev w/PBA</t>
  </si>
  <si>
    <t>Total Gross HCC-adjusted PPBP x PBA per Year</t>
  </si>
  <si>
    <t>Total Gross HCC-adjusted PPBP per Year</t>
  </si>
  <si>
    <t>Calculator Design &amp; Reference Algorithms                           (do not change)</t>
  </si>
  <si>
    <t>Flat Office Visit Fees w/PBA per Year</t>
  </si>
  <si>
    <t>PPBP HCC-adjusted w/PBA per Year</t>
  </si>
  <si>
    <r>
      <t>Total PCF</t>
    </r>
    <r>
      <rPr>
        <b/>
        <sz val="12"/>
        <color theme="1"/>
        <rFont val="Calibri"/>
        <family val="2"/>
        <scheme val="minor"/>
      </rPr>
      <t xml:space="preserve"> Co-Insurance revenue</t>
    </r>
    <r>
      <rPr>
        <sz val="12"/>
        <color theme="1"/>
        <rFont val="Calibri"/>
        <family val="2"/>
        <scheme val="minor"/>
      </rPr>
      <t>/year less WAIVER</t>
    </r>
  </si>
  <si>
    <r>
      <t xml:space="preserve">Variables                                              </t>
    </r>
    <r>
      <rPr>
        <sz val="10"/>
        <color theme="4" tint="-0.249977111117893"/>
        <rFont val="Calibri (Body)"/>
      </rPr>
      <t>NOTE: Click on hyperlinks for Details</t>
    </r>
  </si>
  <si>
    <t>Flat Office Visit Fees w/PBA + Co-Insurance revenue per Year</t>
  </si>
  <si>
    <t>Yearly total of Professional Population-Based Payment modified by the Performance Based Adjustment percentage.</t>
  </si>
  <si>
    <t>Yearly total of Flat Office Visit Fees modified by the Performance Based Adjustment percentage plus the yearly total of per-encounter Co-Insurance payments by PCF patients.</t>
  </si>
  <si>
    <r>
      <rPr>
        <b/>
        <i/>
        <sz val="11"/>
        <color theme="1"/>
        <rFont val="Calibri"/>
        <family val="2"/>
        <scheme val="minor"/>
      </rPr>
      <t xml:space="preserve">IMPORTANT:  </t>
    </r>
    <r>
      <rPr>
        <i/>
        <sz val="11"/>
        <color theme="1"/>
        <rFont val="Calibri"/>
        <family val="2"/>
        <scheme val="minor"/>
      </rPr>
      <t>PCF Calculator v4.1  (based on PCF RFA 10.24.19)  For updates, see:  https://www.healthteamworks.org/content/primary-care-first-revenue-calculator</t>
    </r>
  </si>
  <si>
    <t>Medicare's PCF patient attribution ("alignment") model may not reflect the practice's own attribution experience.  Therefore, the PCF attribution accuracy may be modified by the practice, if desired, to less than 100% for the purpose of revenue modeling.  As an example, if the Beneficiaris attributed to the PCF Practice by Medicare are 90% of the actual number of Medicare patients being cared for, then 90% of the PCF Practice revenue for its Benficiaries would be based on the PCF Total Primary Care Payment model and 10% would be from Medicare FFS.  Also, this "concordance" percent will initially need to be estimated by the Practice; once a Practice's application to participate in PCF has been approved, CMS will share the actual (official) number of aligned Beneficiaries based on the CMS Alignment methodology (which can then be used to calculate the concordance percent for use in the Calculator).  See Row 43 below.</t>
  </si>
  <si>
    <t>This is the Practice's Medicare Pt Attribution (practice data) modified by both the PCF Patient Alignment methodology and the "Leakage Adjustment" percent.  See Rows 5 &amp; 6 above.  NOTE:  the impact of the PCF Pt Alignment methodology can be estimated as a "concordance percent"--namely, the estimated percent correlation between the MCR pt attribution derived through practice data and that calculated by CMS using their "alignment" methodology.  Ultimately, a "concordance percent" may be calculated by the Practice based on the "official" number of Aligned Beneficiaries reported by CMS to the PCF Practice (after their RFA submission and before the final PCF participation contract is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</si>
</sst>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_(&quot;$&quot;* #,##0_);_(&quot;$&quot;* \(#,##0\);_(&quot;$&quot;* &quot;-&quot;??_);_(@_)"/>
    <numFmt numFmtId="166" formatCode="0.0"/>
    <numFmt numFmtId="167" formatCode="_(&quot;$&quot;* #,##0_);_(&quot;$&quot;* \(#,##0\);_(&quot;$&quot;* &quot;-&quot;?_);_(@_)"/>
  </numFmts>
  <fonts count="28">
    <font>
      <sz val="12"/>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sz val="10"/>
      <color rgb="FF000000"/>
      <name val="Tahoma"/>
      <family val="2"/>
    </font>
    <font>
      <b/>
      <sz val="10"/>
      <color rgb="FF000000"/>
      <name val="Tahoma"/>
      <family val="2"/>
    </font>
    <font>
      <i/>
      <sz val="12"/>
      <color theme="1"/>
      <name val="Calibri"/>
      <family val="2"/>
      <scheme val="minor"/>
    </font>
    <font>
      <sz val="20"/>
      <color theme="1"/>
      <name val="Calibri"/>
      <family val="2"/>
      <scheme val="minor"/>
    </font>
    <font>
      <sz val="16"/>
      <color theme="1"/>
      <name val="Calibri"/>
      <family val="2"/>
      <scheme val="minor"/>
    </font>
    <font>
      <b/>
      <sz val="16"/>
      <color theme="1"/>
      <name val="Calibri"/>
      <family val="2"/>
      <scheme val="minor"/>
    </font>
    <font>
      <sz val="11"/>
      <color theme="1"/>
      <name val="Calibri"/>
      <family val="2"/>
      <scheme val="minor"/>
    </font>
    <font>
      <b/>
      <u/>
      <sz val="14"/>
      <color theme="1"/>
      <name val="Calibri"/>
      <family val="2"/>
      <scheme val="minor"/>
    </font>
    <font>
      <u/>
      <sz val="12"/>
      <color theme="10"/>
      <name val="Calibri"/>
      <family val="2"/>
      <scheme val="minor"/>
    </font>
    <font>
      <sz val="10"/>
      <color theme="1"/>
      <name val="Tahoma"/>
      <family val="2"/>
    </font>
    <font>
      <i/>
      <sz val="11"/>
      <color theme="1"/>
      <name val="Calibri"/>
      <family val="2"/>
      <scheme val="minor"/>
    </font>
    <font>
      <b/>
      <i/>
      <sz val="11"/>
      <color theme="1"/>
      <name val="Calibri"/>
      <family val="2"/>
      <scheme val="minor"/>
    </font>
    <font>
      <sz val="13"/>
      <color theme="1"/>
      <name val="Calibri"/>
      <family val="2"/>
      <scheme val="minor"/>
    </font>
    <font>
      <sz val="10"/>
      <color rgb="FF000000"/>
      <name val="Calibri"/>
      <family val="2"/>
    </font>
    <font>
      <u/>
      <sz val="12"/>
      <color theme="1"/>
      <name val="Calibri"/>
      <family val="2"/>
      <scheme val="minor"/>
    </font>
    <font>
      <b/>
      <u/>
      <sz val="12"/>
      <color theme="10"/>
      <name val="Calibri"/>
      <family val="2"/>
      <scheme val="minor"/>
    </font>
    <font>
      <sz val="12"/>
      <color rgb="FF0070C0"/>
      <name val="Calibri"/>
      <family val="2"/>
      <scheme val="minor"/>
    </font>
    <font>
      <sz val="12"/>
      <color theme="1"/>
      <name val="Calibri (Body)"/>
    </font>
    <font>
      <sz val="10"/>
      <color theme="4" tint="-0.249977111117893"/>
      <name val="Calibri (Body)"/>
    </font>
    <font>
      <sz val="12"/>
      <color rgb="FFFF0000"/>
      <name val="Calibri"/>
      <family val="2"/>
      <scheme val="minor"/>
    </font>
    <font>
      <b/>
      <sz val="12"/>
      <color theme="1"/>
      <name val="Calibri (Body)"/>
    </font>
    <font>
      <sz val="12"/>
      <color rgb="FFFF0000"/>
      <name val="Calibri (Body)"/>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00B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467">
    <xf numFmtId="0" fontId="0" fillId="0" borderId="0" xfId="0"/>
    <xf numFmtId="9" fontId="0" fillId="0" borderId="0" xfId="2" applyFont="1"/>
    <xf numFmtId="0" fontId="2" fillId="0" borderId="0" xfId="0" applyFont="1"/>
    <xf numFmtId="44" fontId="0" fillId="0" borderId="0" xfId="0" applyNumberFormat="1"/>
    <xf numFmtId="0" fontId="4" fillId="0" borderId="0" xfId="0" applyFont="1"/>
    <xf numFmtId="0" fontId="0" fillId="0" borderId="2" xfId="0" applyBorder="1"/>
    <xf numFmtId="0" fontId="0" fillId="0" borderId="0" xfId="0" applyFont="1"/>
    <xf numFmtId="0" fontId="5" fillId="2" borderId="2" xfId="0" applyFont="1" applyFill="1" applyBorder="1" applyAlignment="1">
      <alignment horizontal="center" wrapText="1"/>
    </xf>
    <xf numFmtId="165" fontId="0" fillId="0" borderId="0" xfId="1" applyNumberFormat="1" applyFont="1"/>
    <xf numFmtId="165" fontId="0" fillId="3" borderId="1" xfId="1" applyNumberFormat="1" applyFont="1" applyFill="1" applyBorder="1"/>
    <xf numFmtId="0" fontId="5" fillId="0" borderId="2" xfId="0" applyFont="1" applyBorder="1" applyAlignment="1">
      <alignment wrapText="1"/>
    </xf>
    <xf numFmtId="0" fontId="5" fillId="0" borderId="0" xfId="0" applyFont="1" applyAlignment="1">
      <alignment wrapText="1"/>
    </xf>
    <xf numFmtId="0" fontId="5" fillId="2" borderId="2" xfId="0" applyFont="1" applyFill="1" applyBorder="1" applyAlignment="1">
      <alignment wrapText="1"/>
    </xf>
    <xf numFmtId="0" fontId="0" fillId="2" borderId="0" xfId="0" applyFont="1" applyFill="1" applyAlignment="1">
      <alignment horizontal="right"/>
    </xf>
    <xf numFmtId="0" fontId="0" fillId="2" borderId="0" xfId="0" applyFont="1" applyFill="1"/>
    <xf numFmtId="0" fontId="0" fillId="0" borderId="4" xfId="0" applyFont="1" applyFill="1" applyBorder="1" applyAlignment="1">
      <alignment horizontal="left" vertical="top"/>
    </xf>
    <xf numFmtId="165" fontId="0" fillId="0" borderId="4" xfId="1" applyNumberFormat="1" applyFont="1" applyFill="1" applyBorder="1"/>
    <xf numFmtId="0" fontId="0" fillId="2" borderId="16" xfId="0" applyFont="1" applyFill="1" applyBorder="1" applyAlignment="1">
      <alignment horizontal="left" vertical="top"/>
    </xf>
    <xf numFmtId="0" fontId="11" fillId="2" borderId="2" xfId="0" applyFont="1" applyFill="1" applyBorder="1" applyAlignment="1">
      <alignment wrapText="1"/>
    </xf>
    <xf numFmtId="165" fontId="0" fillId="0" borderId="10" xfId="1" applyNumberFormat="1" applyFont="1" applyBorder="1" applyProtection="1">
      <protection locked="0"/>
    </xf>
    <xf numFmtId="165" fontId="0" fillId="0" borderId="1" xfId="1" applyNumberFormat="1" applyFont="1" applyBorder="1" applyProtection="1">
      <protection locked="0"/>
    </xf>
    <xf numFmtId="0" fontId="13" fillId="0" borderId="2" xfId="0" applyFont="1" applyBorder="1" applyAlignment="1">
      <alignment wrapText="1"/>
    </xf>
    <xf numFmtId="0" fontId="4" fillId="2" borderId="16" xfId="0" applyFont="1" applyFill="1" applyBorder="1"/>
    <xf numFmtId="0" fontId="5" fillId="2" borderId="16" xfId="0" applyFont="1" applyFill="1" applyBorder="1" applyAlignment="1">
      <alignment wrapText="1"/>
    </xf>
    <xf numFmtId="0" fontId="0" fillId="2" borderId="0" xfId="0" applyFont="1" applyFill="1" applyBorder="1" applyAlignment="1">
      <alignment horizontal="right" vertical="top"/>
    </xf>
    <xf numFmtId="0" fontId="0" fillId="2" borderId="2" xfId="0" applyFont="1" applyFill="1" applyBorder="1" applyAlignment="1">
      <alignment horizontal="center"/>
    </xf>
    <xf numFmtId="44" fontId="0" fillId="0" borderId="0" xfId="1" applyFont="1"/>
    <xf numFmtId="165" fontId="0" fillId="0" borderId="0" xfId="0" applyNumberFormat="1"/>
    <xf numFmtId="2" fontId="0" fillId="0" borderId="0" xfId="0" applyNumberFormat="1"/>
    <xf numFmtId="0" fontId="2" fillId="0" borderId="2" xfId="0" applyFont="1" applyBorder="1"/>
    <xf numFmtId="165" fontId="2" fillId="0" borderId="2" xfId="0" applyNumberFormat="1" applyFont="1" applyBorder="1"/>
    <xf numFmtId="165" fontId="2" fillId="0" borderId="0" xfId="0" applyNumberFormat="1" applyFont="1"/>
    <xf numFmtId="165" fontId="0" fillId="0" borderId="0" xfId="0" applyNumberFormat="1" applyFont="1"/>
    <xf numFmtId="0" fontId="2" fillId="4" borderId="1" xfId="0" applyFont="1" applyFill="1" applyBorder="1" applyAlignment="1" applyProtection="1">
      <alignment horizontal="center"/>
      <protection locked="0"/>
    </xf>
    <xf numFmtId="0" fontId="3" fillId="0" borderId="0" xfId="0" applyFont="1" applyProtection="1"/>
    <xf numFmtId="0" fontId="9" fillId="2" borderId="6" xfId="0" applyFont="1" applyFill="1" applyBorder="1" applyProtection="1"/>
    <xf numFmtId="0" fontId="9" fillId="2" borderId="20" xfId="0" applyFont="1" applyFill="1" applyBorder="1" applyProtection="1"/>
    <xf numFmtId="0" fontId="9" fillId="0" borderId="0" xfId="0" applyFont="1" applyProtection="1"/>
    <xf numFmtId="0" fontId="4" fillId="2" borderId="12" xfId="0" applyFont="1" applyFill="1" applyBorder="1" applyProtection="1"/>
    <xf numFmtId="0" fontId="0" fillId="2" borderId="16" xfId="0" applyFont="1" applyFill="1" applyBorder="1" applyAlignment="1" applyProtection="1">
      <alignment horizontal="center"/>
    </xf>
    <xf numFmtId="0" fontId="4" fillId="0" borderId="2" xfId="0" applyFont="1" applyFill="1" applyBorder="1" applyProtection="1"/>
    <xf numFmtId="0" fontId="4" fillId="0" borderId="2" xfId="0" applyFont="1" applyBorder="1" applyProtection="1"/>
    <xf numFmtId="0" fontId="4" fillId="0" borderId="0" xfId="0" applyFont="1" applyProtection="1"/>
    <xf numFmtId="0" fontId="5" fillId="2" borderId="19"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165" fontId="0" fillId="2" borderId="0" xfId="1" applyNumberFormat="1" applyFont="1" applyFill="1" applyBorder="1" applyProtection="1"/>
    <xf numFmtId="165" fontId="0" fillId="2" borderId="16" xfId="1" applyNumberFormat="1" applyFont="1" applyFill="1" applyBorder="1" applyProtection="1"/>
    <xf numFmtId="9" fontId="0" fillId="2" borderId="1" xfId="2" applyFont="1" applyFill="1" applyBorder="1" applyProtection="1"/>
    <xf numFmtId="44" fontId="0" fillId="2" borderId="16" xfId="1" applyFont="1" applyFill="1" applyBorder="1" applyProtection="1"/>
    <xf numFmtId="9" fontId="0" fillId="2" borderId="16" xfId="2" applyFont="1" applyFill="1" applyBorder="1" applyProtection="1"/>
    <xf numFmtId="0" fontId="2" fillId="0" borderId="0" xfId="0" applyFont="1" applyProtection="1"/>
    <xf numFmtId="0" fontId="2" fillId="2" borderId="0" xfId="0" applyFont="1" applyFill="1" applyBorder="1" applyProtection="1"/>
    <xf numFmtId="0" fontId="2" fillId="0" borderId="0" xfId="0" applyFont="1" applyAlignment="1" applyProtection="1">
      <alignment horizontal="right"/>
    </xf>
    <xf numFmtId="164" fontId="2" fillId="0" borderId="0" xfId="0" applyNumberFormat="1" applyFont="1" applyProtection="1"/>
    <xf numFmtId="0" fontId="0" fillId="2" borderId="12" xfId="0" applyFont="1" applyFill="1" applyBorder="1" applyAlignment="1" applyProtection="1">
      <alignment horizontal="right"/>
    </xf>
    <xf numFmtId="0" fontId="0" fillId="2" borderId="12" xfId="0" applyFont="1" applyFill="1" applyBorder="1" applyProtection="1"/>
    <xf numFmtId="164" fontId="0" fillId="2" borderId="16" xfId="2" applyNumberFormat="1" applyFont="1" applyFill="1" applyBorder="1" applyProtection="1"/>
    <xf numFmtId="0" fontId="2" fillId="2" borderId="12" xfId="0" applyFont="1" applyFill="1" applyBorder="1" applyAlignment="1" applyProtection="1">
      <alignment horizontal="right"/>
    </xf>
    <xf numFmtId="164" fontId="2" fillId="0" borderId="0" xfId="2" applyNumberFormat="1" applyFont="1" applyBorder="1" applyAlignment="1" applyProtection="1">
      <alignment horizontal="center"/>
    </xf>
    <xf numFmtId="0" fontId="2" fillId="0" borderId="0" xfId="0" applyFont="1" applyAlignment="1" applyProtection="1">
      <alignment horizontal="center"/>
    </xf>
    <xf numFmtId="165" fontId="0" fillId="0" borderId="4" xfId="0" applyNumberFormat="1" applyFont="1" applyFill="1" applyBorder="1" applyProtection="1"/>
    <xf numFmtId="0" fontId="2" fillId="2" borderId="12" xfId="0" applyFont="1" applyFill="1" applyBorder="1" applyProtection="1"/>
    <xf numFmtId="0" fontId="0" fillId="0" borderId="4" xfId="0" applyFont="1" applyFill="1" applyBorder="1" applyAlignment="1" applyProtection="1">
      <alignment horizontal="right"/>
    </xf>
    <xf numFmtId="165" fontId="2" fillId="2" borderId="0" xfId="0" applyNumberFormat="1" applyFont="1" applyFill="1" applyBorder="1" applyProtection="1"/>
    <xf numFmtId="0" fontId="2" fillId="2" borderId="20" xfId="0" applyFont="1" applyFill="1" applyBorder="1" applyProtection="1"/>
    <xf numFmtId="165" fontId="0" fillId="2" borderId="1" xfId="1" applyNumberFormat="1" applyFont="1" applyFill="1" applyBorder="1" applyProtection="1"/>
    <xf numFmtId="0" fontId="5" fillId="0" borderId="0" xfId="0" applyFont="1" applyFill="1" applyBorder="1" applyAlignment="1" applyProtection="1"/>
    <xf numFmtId="0" fontId="2" fillId="0" borderId="0" xfId="0" applyFont="1" applyFill="1" applyBorder="1" applyProtection="1"/>
    <xf numFmtId="0" fontId="0" fillId="0" borderId="0" xfId="0" applyFont="1" applyAlignment="1" applyProtection="1">
      <alignment horizontal="center"/>
    </xf>
    <xf numFmtId="0" fontId="0" fillId="0" borderId="0" xfId="0" applyFont="1" applyProtection="1"/>
    <xf numFmtId="165" fontId="0" fillId="3" borderId="11" xfId="1" applyNumberFormat="1" applyFont="1" applyFill="1" applyBorder="1"/>
    <xf numFmtId="0" fontId="2" fillId="3" borderId="11" xfId="0" applyFont="1" applyFill="1" applyBorder="1" applyAlignment="1">
      <alignment horizontal="right"/>
    </xf>
    <xf numFmtId="0" fontId="0" fillId="0" borderId="0" xfId="0" applyFont="1" applyFill="1" applyBorder="1" applyAlignment="1" applyProtection="1">
      <alignment horizontal="right" vertical="top" wrapText="1"/>
    </xf>
    <xf numFmtId="0" fontId="0" fillId="2" borderId="1" xfId="0" applyFont="1" applyFill="1" applyBorder="1" applyAlignment="1" applyProtection="1">
      <alignment horizontal="right"/>
    </xf>
    <xf numFmtId="0" fontId="0" fillId="2" borderId="1" xfId="0" applyFont="1" applyFill="1" applyBorder="1" applyAlignment="1" applyProtection="1">
      <alignment horizontal="center"/>
    </xf>
    <xf numFmtId="164" fontId="0" fillId="0" borderId="1" xfId="2" applyNumberFormat="1" applyFont="1" applyBorder="1" applyProtection="1"/>
    <xf numFmtId="164" fontId="0" fillId="2" borderId="1" xfId="2" applyNumberFormat="1" applyFont="1" applyFill="1" applyBorder="1" applyProtection="1"/>
    <xf numFmtId="165" fontId="0" fillId="2" borderId="2" xfId="0" applyNumberFormat="1" applyFont="1" applyFill="1" applyBorder="1" applyProtection="1"/>
    <xf numFmtId="165" fontId="0" fillId="2" borderId="10" xfId="0" applyNumberFormat="1" applyFont="1" applyFill="1" applyBorder="1" applyProtection="1"/>
    <xf numFmtId="0" fontId="0" fillId="2" borderId="14" xfId="0" applyFont="1" applyFill="1" applyBorder="1" applyAlignment="1" applyProtection="1">
      <alignment horizontal="right"/>
    </xf>
    <xf numFmtId="0" fontId="10" fillId="8" borderId="4" xfId="0" applyFont="1" applyFill="1" applyBorder="1" applyAlignment="1"/>
    <xf numFmtId="0" fontId="5" fillId="2" borderId="12" xfId="0" applyFont="1" applyFill="1" applyBorder="1" applyAlignment="1">
      <alignment horizontal="right"/>
    </xf>
    <xf numFmtId="164" fontId="0" fillId="0" borderId="0" xfId="2" applyNumberFormat="1" applyFont="1" applyFill="1" applyBorder="1" applyAlignment="1">
      <alignment horizontal="center"/>
    </xf>
    <xf numFmtId="0" fontId="8" fillId="0" borderId="0" xfId="0" applyFont="1" applyFill="1" applyBorder="1" applyAlignment="1">
      <alignment horizontal="right" vertical="top"/>
    </xf>
    <xf numFmtId="0" fontId="11" fillId="2" borderId="4" xfId="0" applyFont="1" applyFill="1" applyBorder="1"/>
    <xf numFmtId="0" fontId="0" fillId="2" borderId="5" xfId="0" applyFont="1" applyFill="1" applyBorder="1" applyProtection="1"/>
    <xf numFmtId="0" fontId="3" fillId="2" borderId="3" xfId="0" applyFont="1" applyFill="1" applyBorder="1" applyProtection="1"/>
    <xf numFmtId="0" fontId="3" fillId="2" borderId="4" xfId="0" applyFont="1" applyFill="1" applyBorder="1" applyProtection="1"/>
    <xf numFmtId="0" fontId="3" fillId="2" borderId="5" xfId="0" applyFont="1" applyFill="1" applyBorder="1" applyProtection="1"/>
    <xf numFmtId="0" fontId="0" fillId="0" borderId="11" xfId="0" applyFont="1" applyBorder="1" applyAlignment="1">
      <alignment horizontal="center"/>
    </xf>
    <xf numFmtId="164" fontId="0" fillId="4" borderId="3" xfId="2" applyNumberFormat="1" applyFont="1" applyFill="1" applyBorder="1" applyAlignment="1" applyProtection="1">
      <alignment horizontal="center"/>
      <protection locked="0"/>
    </xf>
    <xf numFmtId="0" fontId="2" fillId="3" borderId="22" xfId="0" applyFont="1" applyFill="1" applyBorder="1" applyAlignment="1">
      <alignment horizontal="center" wrapText="1"/>
    </xf>
    <xf numFmtId="1" fontId="0" fillId="4" borderId="1" xfId="2" applyNumberFormat="1" applyFont="1" applyFill="1" applyBorder="1" applyAlignment="1" applyProtection="1">
      <alignment horizontal="center"/>
      <protection locked="0"/>
    </xf>
    <xf numFmtId="0" fontId="0" fillId="2" borderId="16" xfId="0" applyFont="1" applyFill="1" applyBorder="1"/>
    <xf numFmtId="0" fontId="18" fillId="2" borderId="16" xfId="0" applyFont="1" applyFill="1" applyBorder="1" applyAlignment="1">
      <alignment horizontal="right"/>
    </xf>
    <xf numFmtId="164" fontId="0" fillId="2" borderId="1" xfId="2" applyNumberFormat="1" applyFont="1" applyFill="1" applyBorder="1" applyAlignment="1" applyProtection="1">
      <alignment horizontal="center"/>
    </xf>
    <xf numFmtId="0" fontId="0" fillId="0" borderId="0" xfId="0" applyFont="1" applyFill="1" applyBorder="1" applyAlignment="1">
      <alignment horizontal="left" vertical="top"/>
    </xf>
    <xf numFmtId="164" fontId="0" fillId="2" borderId="11" xfId="2" applyNumberFormat="1" applyFont="1" applyFill="1" applyBorder="1" applyAlignment="1" applyProtection="1">
      <alignment horizontal="center"/>
    </xf>
    <xf numFmtId="0" fontId="0" fillId="2" borderId="11" xfId="0" applyFont="1" applyFill="1" applyBorder="1" applyAlignment="1">
      <alignment horizontal="right" vertical="top"/>
    </xf>
    <xf numFmtId="0" fontId="0" fillId="0" borderId="1" xfId="0" applyFont="1" applyBorder="1" applyAlignment="1" applyProtection="1">
      <alignment horizontal="center"/>
    </xf>
    <xf numFmtId="164" fontId="0" fillId="2" borderId="1" xfId="0" applyNumberFormat="1" applyFont="1" applyFill="1" applyBorder="1" applyProtection="1"/>
    <xf numFmtId="0" fontId="0" fillId="0" borderId="1" xfId="0" applyFont="1" applyFill="1" applyBorder="1" applyAlignment="1" applyProtection="1">
      <alignment horizontal="center"/>
    </xf>
    <xf numFmtId="9" fontId="0" fillId="2" borderId="1" xfId="0" applyNumberFormat="1" applyFont="1" applyFill="1" applyBorder="1" applyProtection="1"/>
    <xf numFmtId="0" fontId="0" fillId="2" borderId="1" xfId="0" applyFont="1" applyFill="1" applyBorder="1" applyProtection="1"/>
    <xf numFmtId="0" fontId="0" fillId="2" borderId="3" xfId="0" applyFont="1" applyFill="1" applyBorder="1" applyAlignment="1" applyProtection="1"/>
    <xf numFmtId="0" fontId="0" fillId="2" borderId="4" xfId="0" applyFont="1" applyFill="1" applyBorder="1" applyAlignment="1" applyProtection="1"/>
    <xf numFmtId="0" fontId="0" fillId="2" borderId="5" xfId="0" applyFont="1" applyFill="1" applyBorder="1" applyAlignment="1" applyProtection="1"/>
    <xf numFmtId="1" fontId="0" fillId="0" borderId="10" xfId="2" applyNumberFormat="1" applyFont="1" applyBorder="1" applyAlignment="1" applyProtection="1">
      <alignment horizontal="center"/>
      <protection locked="0"/>
    </xf>
    <xf numFmtId="9" fontId="0" fillId="0" borderId="1" xfId="2" applyFont="1" applyBorder="1" applyAlignment="1" applyProtection="1">
      <alignment horizontal="center"/>
      <protection locked="0"/>
    </xf>
    <xf numFmtId="9" fontId="0" fillId="0" borderId="11" xfId="2" applyFont="1" applyBorder="1" applyAlignment="1" applyProtection="1">
      <alignment horizontal="center"/>
      <protection locked="0"/>
    </xf>
    <xf numFmtId="0" fontId="12" fillId="0" borderId="0" xfId="0" applyFont="1"/>
    <xf numFmtId="44" fontId="0" fillId="0" borderId="0" xfId="1" applyFont="1" applyProtection="1"/>
    <xf numFmtId="0" fontId="0" fillId="2" borderId="0" xfId="0" applyFont="1" applyFill="1" applyProtection="1"/>
    <xf numFmtId="165" fontId="0" fillId="0" borderId="0" xfId="1" applyNumberFormat="1" applyFont="1" applyFill="1" applyBorder="1" applyProtection="1"/>
    <xf numFmtId="0" fontId="0" fillId="2" borderId="10" xfId="0" applyFont="1" applyFill="1" applyBorder="1"/>
    <xf numFmtId="0" fontId="0" fillId="2" borderId="12" xfId="0" applyFont="1" applyFill="1" applyBorder="1" applyAlignment="1">
      <alignment horizontal="left" vertical="top"/>
    </xf>
    <xf numFmtId="0" fontId="0" fillId="2" borderId="10" xfId="0" applyFont="1" applyFill="1" applyBorder="1" applyAlignment="1">
      <alignment horizontal="left" vertical="top" wrapText="1"/>
    </xf>
    <xf numFmtId="0" fontId="0" fillId="2" borderId="16" xfId="0" quotePrefix="1" applyFont="1" applyFill="1" applyBorder="1" applyAlignment="1">
      <alignment horizontal="left" vertical="top" wrapText="1"/>
    </xf>
    <xf numFmtId="0" fontId="0" fillId="0" borderId="3" xfId="0" applyFont="1" applyFill="1" applyBorder="1" applyAlignment="1" applyProtection="1">
      <alignment horizontal="left"/>
      <protection locked="0"/>
    </xf>
    <xf numFmtId="0" fontId="0" fillId="2" borderId="3" xfId="0" applyFont="1" applyFill="1" applyBorder="1" applyAlignment="1">
      <alignment horizontal="right"/>
    </xf>
    <xf numFmtId="0" fontId="0" fillId="2" borderId="4" xfId="0" applyFont="1" applyFill="1" applyBorder="1"/>
    <xf numFmtId="0" fontId="0" fillId="2" borderId="10" xfId="0" applyFont="1" applyFill="1" applyBorder="1" applyAlignment="1">
      <alignment horizontal="left" vertical="top"/>
    </xf>
    <xf numFmtId="0" fontId="0" fillId="2" borderId="10" xfId="0" applyFont="1" applyFill="1" applyBorder="1" applyAlignment="1">
      <alignment horizontal="left"/>
    </xf>
    <xf numFmtId="0" fontId="0" fillId="2" borderId="16" xfId="0" applyFont="1" applyFill="1" applyBorder="1" applyAlignment="1">
      <alignment horizontal="left"/>
    </xf>
    <xf numFmtId="0" fontId="0" fillId="2" borderId="11" xfId="0" applyFont="1" applyFill="1" applyBorder="1" applyAlignment="1">
      <alignment horizontal="left"/>
    </xf>
    <xf numFmtId="0" fontId="0" fillId="2" borderId="16" xfId="0" applyFont="1" applyFill="1" applyBorder="1" applyAlignment="1" applyProtection="1">
      <alignment horizontal="left"/>
    </xf>
    <xf numFmtId="0" fontId="2" fillId="2" borderId="1" xfId="0" applyFont="1" applyFill="1" applyBorder="1" applyAlignment="1">
      <alignment horizontal="right" vertical="top"/>
    </xf>
    <xf numFmtId="0" fontId="4" fillId="0" borderId="0" xfId="0" applyFont="1" applyBorder="1" applyProtection="1"/>
    <xf numFmtId="165" fontId="0" fillId="0" borderId="1" xfId="1" applyNumberFormat="1" applyFont="1" applyBorder="1"/>
    <xf numFmtId="0" fontId="0" fillId="5" borderId="1" xfId="0" applyFont="1" applyFill="1" applyBorder="1" applyAlignment="1">
      <alignment horizontal="center"/>
    </xf>
    <xf numFmtId="0" fontId="0" fillId="5" borderId="1" xfId="0" applyFont="1" applyFill="1" applyBorder="1"/>
    <xf numFmtId="9" fontId="0" fillId="0" borderId="1" xfId="0" applyNumberFormat="1" applyFont="1" applyBorder="1" applyAlignment="1">
      <alignment horizontal="center"/>
    </xf>
    <xf numFmtId="164" fontId="0" fillId="0" borderId="1" xfId="0" applyNumberFormat="1" applyFont="1" applyBorder="1" applyAlignment="1">
      <alignment horizontal="center"/>
    </xf>
    <xf numFmtId="9" fontId="0" fillId="0" borderId="1" xfId="0" applyNumberFormat="1" applyFont="1" applyFill="1" applyBorder="1" applyAlignment="1">
      <alignment horizontal="center"/>
    </xf>
    <xf numFmtId="0" fontId="20" fillId="2" borderId="4" xfId="3" applyFont="1" applyFill="1" applyBorder="1" applyAlignment="1" applyProtection="1">
      <alignment vertical="center" wrapText="1"/>
    </xf>
    <xf numFmtId="0" fontId="0" fillId="0" borderId="1" xfId="0" applyFont="1" applyBorder="1" applyAlignment="1" applyProtection="1">
      <alignment horizontal="center"/>
      <protection locked="0"/>
    </xf>
    <xf numFmtId="0" fontId="0" fillId="2" borderId="24" xfId="0" applyFont="1" applyFill="1" applyBorder="1"/>
    <xf numFmtId="0" fontId="0" fillId="0" borderId="12" xfId="0" applyFont="1" applyFill="1" applyBorder="1" applyProtection="1"/>
    <xf numFmtId="166" fontId="0" fillId="2" borderId="1" xfId="0" applyNumberFormat="1" applyFont="1" applyFill="1" applyBorder="1" applyAlignment="1">
      <alignment horizontal="center"/>
    </xf>
    <xf numFmtId="166" fontId="0" fillId="0" borderId="1" xfId="0" applyNumberFormat="1" applyFont="1" applyFill="1" applyBorder="1" applyAlignment="1" applyProtection="1">
      <alignment horizontal="center"/>
      <protection locked="0"/>
    </xf>
    <xf numFmtId="165" fontId="0" fillId="2" borderId="10" xfId="1" applyNumberFormat="1" applyFont="1" applyFill="1" applyBorder="1" applyProtection="1"/>
    <xf numFmtId="0" fontId="0" fillId="2" borderId="11" xfId="0" applyFont="1" applyFill="1" applyBorder="1"/>
    <xf numFmtId="44" fontId="0" fillId="2" borderId="1" xfId="1" applyFont="1" applyFill="1" applyBorder="1"/>
    <xf numFmtId="0" fontId="0" fillId="4" borderId="1" xfId="0"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164" fontId="0" fillId="4" borderId="1" xfId="2" applyNumberFormat="1" applyFont="1" applyFill="1" applyBorder="1" applyAlignment="1" applyProtection="1">
      <alignment horizontal="center"/>
      <protection locked="0"/>
    </xf>
    <xf numFmtId="0" fontId="0" fillId="2" borderId="1" xfId="0" applyFont="1" applyFill="1" applyBorder="1" applyAlignment="1">
      <alignment horizontal="center"/>
    </xf>
    <xf numFmtId="0" fontId="0" fillId="0" borderId="20" xfId="0" applyFont="1" applyFill="1" applyBorder="1"/>
    <xf numFmtId="0" fontId="0" fillId="2" borderId="2" xfId="0" applyFont="1" applyFill="1" applyBorder="1"/>
    <xf numFmtId="165" fontId="0" fillId="2" borderId="11" xfId="1" applyNumberFormat="1" applyFont="1" applyFill="1" applyBorder="1"/>
    <xf numFmtId="165" fontId="0" fillId="3" borderId="22" xfId="0" applyNumberFormat="1" applyFont="1" applyFill="1" applyBorder="1"/>
    <xf numFmtId="0" fontId="0" fillId="0" borderId="0" xfId="0" applyFont="1" applyFill="1" applyBorder="1"/>
    <xf numFmtId="0" fontId="0" fillId="2" borderId="23" xfId="0" applyFont="1" applyFill="1" applyBorder="1"/>
    <xf numFmtId="0" fontId="0" fillId="0" borderId="0" xfId="0" applyFont="1" applyAlignment="1">
      <alignment horizontal="left"/>
    </xf>
    <xf numFmtId="0" fontId="0" fillId="0" borderId="0" xfId="0" applyFont="1" applyBorder="1"/>
    <xf numFmtId="0" fontId="0" fillId="2" borderId="1" xfId="0" applyFont="1" applyFill="1" applyBorder="1"/>
    <xf numFmtId="0" fontId="0" fillId="3" borderId="0" xfId="0" applyFont="1" applyFill="1"/>
    <xf numFmtId="0" fontId="0" fillId="0" borderId="4" xfId="0" applyFont="1" applyFill="1" applyBorder="1"/>
    <xf numFmtId="0" fontId="0" fillId="0" borderId="2" xfId="0" applyFont="1" applyBorder="1"/>
    <xf numFmtId="0" fontId="0" fillId="0" borderId="7" xfId="0" applyFont="1" applyBorder="1"/>
    <xf numFmtId="0" fontId="0" fillId="3" borderId="4" xfId="0" applyFont="1" applyFill="1" applyBorder="1"/>
    <xf numFmtId="0" fontId="0" fillId="3" borderId="10" xfId="0" applyFont="1" applyFill="1" applyBorder="1" applyAlignment="1">
      <alignment horizontal="left"/>
    </xf>
    <xf numFmtId="0" fontId="0" fillId="0" borderId="10" xfId="0" applyFont="1" applyBorder="1" applyAlignment="1" applyProtection="1">
      <alignment horizontal="center"/>
      <protection locked="0"/>
    </xf>
    <xf numFmtId="0" fontId="0" fillId="3" borderId="0" xfId="0" applyFont="1" applyFill="1" applyAlignment="1">
      <alignment horizontal="right"/>
    </xf>
    <xf numFmtId="0" fontId="0" fillId="3" borderId="16" xfId="0" applyFont="1" applyFill="1" applyBorder="1" applyAlignment="1">
      <alignment horizontal="left"/>
    </xf>
    <xf numFmtId="0" fontId="0" fillId="2" borderId="12" xfId="0" applyFont="1" applyFill="1" applyBorder="1"/>
    <xf numFmtId="0" fontId="0" fillId="3" borderId="16" xfId="0" applyFont="1" applyFill="1" applyBorder="1"/>
    <xf numFmtId="0" fontId="0" fillId="3" borderId="8" xfId="0" applyFont="1" applyFill="1" applyBorder="1"/>
    <xf numFmtId="0" fontId="0" fillId="2" borderId="8" xfId="0" applyFont="1" applyFill="1" applyBorder="1"/>
    <xf numFmtId="0" fontId="0" fillId="2" borderId="9" xfId="0" applyFont="1" applyFill="1" applyBorder="1"/>
    <xf numFmtId="0" fontId="20" fillId="0" borderId="0" xfId="3" applyFont="1" applyFill="1" applyBorder="1" applyAlignment="1" applyProtection="1">
      <alignment vertical="center"/>
    </xf>
    <xf numFmtId="0" fontId="20" fillId="0" borderId="2" xfId="3" applyFont="1" applyFill="1" applyBorder="1" applyAlignment="1" applyProtection="1">
      <alignment vertical="center"/>
    </xf>
    <xf numFmtId="0" fontId="0" fillId="2" borderId="12" xfId="0" applyFont="1" applyFill="1" applyBorder="1" applyAlignment="1" applyProtection="1">
      <alignment horizontal="center" wrapText="1"/>
    </xf>
    <xf numFmtId="0" fontId="0" fillId="2" borderId="4" xfId="0" applyFont="1" applyFill="1" applyBorder="1" applyAlignment="1" applyProtection="1">
      <alignment horizontal="center" wrapText="1"/>
    </xf>
    <xf numFmtId="0" fontId="0" fillId="2" borderId="5"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0" xfId="0" applyFont="1" applyFill="1" applyAlignment="1" applyProtection="1">
      <alignment horizontal="center" wrapText="1"/>
    </xf>
    <xf numFmtId="0" fontId="0" fillId="2" borderId="0" xfId="0" applyFont="1" applyFill="1" applyBorder="1" applyProtection="1"/>
    <xf numFmtId="0" fontId="0" fillId="2" borderId="16" xfId="0" applyFont="1" applyFill="1" applyBorder="1" applyProtection="1"/>
    <xf numFmtId="0" fontId="2" fillId="3" borderId="1" xfId="0" applyFont="1" applyFill="1" applyBorder="1" applyProtection="1"/>
    <xf numFmtId="0" fontId="0" fillId="0" borderId="0" xfId="0" applyFont="1" applyAlignment="1" applyProtection="1">
      <alignment horizontal="left" vertical="top"/>
    </xf>
    <xf numFmtId="0" fontId="0" fillId="0" borderId="0" xfId="0" applyFont="1" applyAlignment="1" applyProtection="1">
      <alignment horizontal="center" vertical="top"/>
    </xf>
    <xf numFmtId="0" fontId="0" fillId="0" borderId="0" xfId="0" applyFont="1" applyAlignment="1" applyProtection="1"/>
    <xf numFmtId="0" fontId="0" fillId="0" borderId="0" xfId="0" applyFont="1" applyAlignment="1" applyProtection="1">
      <alignment vertical="top"/>
    </xf>
    <xf numFmtId="0" fontId="0" fillId="0" borderId="0" xfId="0" applyFont="1" applyAlignment="1" applyProtection="1">
      <alignment horizontal="left" vertical="top" wrapText="1"/>
    </xf>
    <xf numFmtId="0" fontId="0" fillId="0" borderId="0" xfId="0" applyFont="1" applyAlignment="1" applyProtection="1">
      <alignment vertical="top" wrapText="1"/>
    </xf>
    <xf numFmtId="9" fontId="0" fillId="2" borderId="1" xfId="2" applyFont="1" applyFill="1" applyBorder="1" applyAlignment="1" applyProtection="1">
      <alignment horizontal="center"/>
    </xf>
    <xf numFmtId="44" fontId="0" fillId="2" borderId="0" xfId="1" applyFont="1" applyFill="1" applyBorder="1" applyProtection="1"/>
    <xf numFmtId="6" fontId="0" fillId="2" borderId="0" xfId="0" applyNumberFormat="1" applyFont="1" applyFill="1" applyProtection="1"/>
    <xf numFmtId="166" fontId="0" fillId="2" borderId="0" xfId="0" applyNumberFormat="1" applyFont="1" applyFill="1" applyBorder="1" applyProtection="1"/>
    <xf numFmtId="0" fontId="2" fillId="0" borderId="0" xfId="0" applyFont="1" applyAlignment="1" applyProtection="1">
      <alignment horizontal="left" vertical="top" wrapText="1"/>
    </xf>
    <xf numFmtId="0" fontId="0" fillId="2" borderId="19" xfId="0" applyFont="1" applyFill="1" applyBorder="1" applyAlignment="1" applyProtection="1">
      <alignment horizontal="center"/>
    </xf>
    <xf numFmtId="0" fontId="0" fillId="2" borderId="8" xfId="0" applyFont="1" applyFill="1" applyBorder="1" applyProtection="1"/>
    <xf numFmtId="0" fontId="0" fillId="2" borderId="21" xfId="0" applyFont="1" applyFill="1" applyBorder="1" applyProtection="1"/>
    <xf numFmtId="0" fontId="2" fillId="2" borderId="0" xfId="0" applyFont="1" applyFill="1" applyBorder="1" applyAlignment="1" applyProtection="1">
      <alignment horizontal="right"/>
    </xf>
    <xf numFmtId="165" fontId="0" fillId="2" borderId="1" xfId="0" applyNumberFormat="1" applyFont="1" applyFill="1" applyBorder="1" applyProtection="1"/>
    <xf numFmtId="0" fontId="0" fillId="2" borderId="0" xfId="0" applyFont="1" applyFill="1" applyBorder="1" applyAlignment="1" applyProtection="1">
      <alignment horizontal="right"/>
    </xf>
    <xf numFmtId="44" fontId="0" fillId="2" borderId="21" xfId="0" applyNumberFormat="1" applyFont="1" applyFill="1" applyBorder="1" applyProtection="1"/>
    <xf numFmtId="0" fontId="0" fillId="2" borderId="8" xfId="0" applyFont="1" applyFill="1" applyBorder="1" applyAlignment="1" applyProtection="1">
      <alignment horizontal="right"/>
    </xf>
    <xf numFmtId="165" fontId="0" fillId="2" borderId="9" xfId="1" applyNumberFormat="1" applyFont="1" applyFill="1" applyBorder="1" applyProtection="1"/>
    <xf numFmtId="0" fontId="0" fillId="2" borderId="12" xfId="0" applyFont="1" applyFill="1" applyBorder="1" applyAlignment="1">
      <alignment horizontal="right" vertical="top"/>
    </xf>
    <xf numFmtId="44" fontId="0" fillId="2" borderId="1" xfId="1" applyFont="1" applyFill="1" applyBorder="1" applyAlignment="1">
      <alignment horizontal="center"/>
    </xf>
    <xf numFmtId="10" fontId="0" fillId="2" borderId="16" xfId="0" applyNumberFormat="1" applyFont="1" applyFill="1" applyBorder="1" applyProtection="1"/>
    <xf numFmtId="9" fontId="0" fillId="2" borderId="0" xfId="0" applyNumberFormat="1" applyFont="1" applyFill="1"/>
    <xf numFmtId="44" fontId="0" fillId="2" borderId="10" xfId="2" applyNumberFormat="1" applyFont="1" applyFill="1" applyBorder="1" applyProtection="1"/>
    <xf numFmtId="165" fontId="0" fillId="2" borderId="6" xfId="2" applyNumberFormat="1" applyFont="1" applyFill="1" applyBorder="1" applyProtection="1"/>
    <xf numFmtId="165" fontId="0" fillId="2" borderId="10" xfId="2" applyNumberFormat="1" applyFont="1" applyFill="1" applyBorder="1" applyProtection="1"/>
    <xf numFmtId="164" fontId="0" fillId="2" borderId="0" xfId="0" applyNumberFormat="1" applyFont="1" applyFill="1"/>
    <xf numFmtId="0" fontId="0" fillId="2" borderId="0" xfId="0" applyFont="1" applyFill="1" applyBorder="1" applyAlignment="1">
      <alignment horizontal="right"/>
    </xf>
    <xf numFmtId="9" fontId="0" fillId="2" borderId="0" xfId="0" applyNumberFormat="1" applyFont="1" applyFill="1" applyBorder="1"/>
    <xf numFmtId="9" fontId="0" fillId="2" borderId="2" xfId="0" applyNumberFormat="1" applyFont="1" applyFill="1" applyBorder="1"/>
    <xf numFmtId="0" fontId="2" fillId="2" borderId="0" xfId="0" applyFont="1" applyFill="1" applyBorder="1" applyAlignment="1" applyProtection="1">
      <alignment horizontal="left"/>
    </xf>
    <xf numFmtId="164" fontId="0" fillId="2" borderId="1" xfId="0" applyNumberFormat="1" applyFont="1" applyFill="1" applyBorder="1" applyAlignment="1" applyProtection="1">
      <alignment horizontal="center"/>
    </xf>
    <xf numFmtId="164" fontId="0" fillId="0" borderId="0" xfId="2" applyNumberFormat="1" applyFont="1" applyFill="1" applyBorder="1" applyProtection="1"/>
    <xf numFmtId="9" fontId="0" fillId="2" borderId="1" xfId="2" applyFont="1" applyFill="1" applyBorder="1" applyAlignment="1" applyProtection="1">
      <alignment horizontal="center" vertical="top"/>
    </xf>
    <xf numFmtId="164" fontId="0" fillId="2" borderId="0" xfId="0" applyNumberFormat="1" applyFont="1" applyFill="1" applyBorder="1"/>
    <xf numFmtId="0" fontId="0" fillId="2" borderId="11" xfId="0" applyFont="1" applyFill="1" applyBorder="1" applyAlignment="1" applyProtection="1">
      <alignment horizontal="right"/>
    </xf>
    <xf numFmtId="0" fontId="0" fillId="2" borderId="12" xfId="0" applyFont="1" applyFill="1" applyBorder="1" applyAlignment="1">
      <alignment horizontal="right"/>
    </xf>
    <xf numFmtId="164" fontId="0" fillId="2" borderId="13" xfId="0" applyNumberFormat="1" applyFont="1" applyFill="1" applyBorder="1"/>
    <xf numFmtId="164" fontId="0" fillId="2" borderId="9" xfId="2" applyNumberFormat="1" applyFont="1" applyFill="1" applyBorder="1" applyProtection="1"/>
    <xf numFmtId="0" fontId="0" fillId="2" borderId="3" xfId="0" applyFont="1" applyFill="1" applyBorder="1" applyAlignment="1" applyProtection="1">
      <alignment horizontal="left"/>
    </xf>
    <xf numFmtId="0" fontId="0" fillId="2" borderId="13" xfId="0" applyFont="1" applyFill="1" applyBorder="1" applyProtection="1"/>
    <xf numFmtId="0" fontId="0" fillId="2" borderId="0" xfId="0" applyFont="1" applyFill="1" applyBorder="1" applyAlignment="1" applyProtection="1">
      <alignment vertical="top" wrapText="1"/>
    </xf>
    <xf numFmtId="0" fontId="0" fillId="2" borderId="13" xfId="0" applyFont="1" applyFill="1" applyBorder="1" applyAlignment="1" applyProtection="1">
      <alignment vertical="top" wrapText="1"/>
    </xf>
    <xf numFmtId="0" fontId="0" fillId="0" borderId="0" xfId="0" applyFont="1" applyBorder="1" applyProtection="1"/>
    <xf numFmtId="0" fontId="0" fillId="0" borderId="0" xfId="0" applyFont="1" applyFill="1" applyBorder="1" applyProtection="1"/>
    <xf numFmtId="0" fontId="0" fillId="0" borderId="0" xfId="0" applyFont="1" applyAlignment="1" applyProtection="1">
      <alignment horizontal="left" indent="2"/>
    </xf>
    <xf numFmtId="0" fontId="0" fillId="2" borderId="9" xfId="0" applyFont="1" applyFill="1" applyBorder="1" applyProtection="1"/>
    <xf numFmtId="0" fontId="0" fillId="0" borderId="4" xfId="0" applyFont="1" applyFill="1" applyBorder="1" applyProtection="1"/>
    <xf numFmtId="165" fontId="0" fillId="2" borderId="0" xfId="0" applyNumberFormat="1" applyFont="1" applyFill="1" applyBorder="1" applyProtection="1"/>
    <xf numFmtId="0" fontId="0" fillId="0" borderId="0" xfId="0" applyFont="1" applyFill="1" applyBorder="1" applyAlignment="1" applyProtection="1">
      <alignment vertical="top" wrapText="1"/>
    </xf>
    <xf numFmtId="0" fontId="0" fillId="2" borderId="15" xfId="0" applyFont="1" applyFill="1" applyBorder="1" applyProtection="1"/>
    <xf numFmtId="0" fontId="0" fillId="2" borderId="14" xfId="0" applyFont="1" applyFill="1" applyBorder="1" applyProtection="1"/>
    <xf numFmtId="0" fontId="0" fillId="2" borderId="17" xfId="0" applyFont="1" applyFill="1" applyBorder="1" applyProtection="1"/>
    <xf numFmtId="0" fontId="0" fillId="2" borderId="18" xfId="0" applyFont="1" applyFill="1" applyBorder="1" applyProtection="1"/>
    <xf numFmtId="0" fontId="0" fillId="0" borderId="0" xfId="0" applyFont="1" applyFill="1" applyProtection="1"/>
    <xf numFmtId="165" fontId="0" fillId="0" borderId="0" xfId="0" applyNumberFormat="1" applyFont="1" applyFill="1" applyBorder="1" applyProtection="1"/>
    <xf numFmtId="44" fontId="0" fillId="0" borderId="0" xfId="0" applyNumberFormat="1" applyFont="1" applyFill="1" applyBorder="1" applyProtection="1"/>
    <xf numFmtId="0" fontId="0" fillId="0" borderId="8" xfId="0" applyFont="1" applyFill="1" applyBorder="1" applyProtection="1"/>
    <xf numFmtId="44" fontId="0" fillId="2" borderId="1" xfId="1" applyFont="1" applyFill="1" applyBorder="1" applyProtection="1"/>
    <xf numFmtId="165" fontId="0" fillId="0" borderId="0" xfId="0" applyNumberFormat="1" applyFont="1" applyProtection="1"/>
    <xf numFmtId="0" fontId="0" fillId="0" borderId="2" xfId="0" applyFont="1" applyBorder="1" applyProtection="1"/>
    <xf numFmtId="165" fontId="0" fillId="0" borderId="0" xfId="1" applyNumberFormat="1" applyFont="1" applyAlignment="1" applyProtection="1">
      <alignment horizontal="center"/>
    </xf>
    <xf numFmtId="0" fontId="0" fillId="0" borderId="2" xfId="0" applyFont="1" applyBorder="1" applyAlignment="1" applyProtection="1">
      <alignment horizontal="center"/>
    </xf>
    <xf numFmtId="167" fontId="0" fillId="2" borderId="1" xfId="0" applyNumberFormat="1" applyFont="1" applyFill="1" applyBorder="1" applyProtection="1"/>
    <xf numFmtId="165" fontId="0" fillId="0" borderId="0" xfId="1" applyNumberFormat="1" applyFont="1" applyProtection="1"/>
    <xf numFmtId="2" fontId="0" fillId="0" borderId="0" xfId="0" applyNumberFormat="1" applyFont="1" applyProtection="1"/>
    <xf numFmtId="0" fontId="0" fillId="0" borderId="0" xfId="0" applyFont="1" applyAlignment="1" applyProtection="1">
      <alignment horizontal="left"/>
    </xf>
    <xf numFmtId="0" fontId="0" fillId="0" borderId="0" xfId="0" applyFont="1" applyFill="1" applyBorder="1" applyAlignment="1">
      <alignment horizontal="left" vertical="top" wrapText="1"/>
    </xf>
    <xf numFmtId="0" fontId="0" fillId="0" borderId="0" xfId="0" quotePrefix="1" applyFont="1" applyFill="1" applyBorder="1" applyAlignment="1">
      <alignment horizontal="left" vertical="top" wrapText="1"/>
    </xf>
    <xf numFmtId="0" fontId="0" fillId="0" borderId="0" xfId="0" applyAlignment="1">
      <alignment vertical="top"/>
    </xf>
    <xf numFmtId="0" fontId="0" fillId="0" borderId="0" xfId="0" applyFont="1" applyFill="1" applyBorder="1" applyAlignment="1" applyProtection="1">
      <alignment horizontal="left" vertical="top"/>
    </xf>
    <xf numFmtId="0" fontId="0" fillId="0" borderId="0" xfId="0" applyFont="1" applyAlignment="1">
      <alignment horizontal="left" vertical="top" wrapText="1" readingOrder="1"/>
    </xf>
    <xf numFmtId="0" fontId="2" fillId="0" borderId="0" xfId="0" applyFont="1" applyFill="1" applyBorder="1" applyAlignment="1">
      <alignment horizontal="left" vertical="top"/>
    </xf>
    <xf numFmtId="0" fontId="0" fillId="2" borderId="0" xfId="0" applyFill="1" applyAlignment="1">
      <alignment horizontal="left" vertical="top"/>
    </xf>
    <xf numFmtId="0" fontId="0" fillId="0" borderId="0" xfId="0" applyFont="1" applyFill="1" applyBorder="1" applyAlignment="1">
      <alignment horizontal="right" vertical="top"/>
    </xf>
    <xf numFmtId="0" fontId="0" fillId="0" borderId="0" xfId="0" applyFont="1" applyFill="1" applyBorder="1" applyAlignment="1">
      <alignment horizontal="right" vertical="top" wrapText="1"/>
    </xf>
    <xf numFmtId="0" fontId="0" fillId="0" borderId="0" xfId="0" quotePrefix="1" applyFont="1" applyFill="1" applyBorder="1" applyAlignment="1">
      <alignment horizontal="right" vertical="top" wrapText="1"/>
    </xf>
    <xf numFmtId="0" fontId="0" fillId="2" borderId="0" xfId="0" applyFill="1" applyAlignment="1">
      <alignment horizontal="left" vertical="top" wrapText="1"/>
    </xf>
    <xf numFmtId="0" fontId="0" fillId="2" borderId="0" xfId="0" applyFont="1" applyFill="1" applyAlignment="1">
      <alignment horizontal="left" vertical="top" wrapText="1" readingOrder="1"/>
    </xf>
    <xf numFmtId="0" fontId="0" fillId="2" borderId="0" xfId="0" applyFont="1" applyFill="1" applyAlignment="1">
      <alignment horizontal="left" vertical="top" wrapText="1"/>
    </xf>
    <xf numFmtId="0" fontId="3" fillId="0" borderId="0" xfId="0" applyFont="1" applyAlignment="1">
      <alignment vertical="top"/>
    </xf>
    <xf numFmtId="0" fontId="4" fillId="0" borderId="0" xfId="0" applyFont="1" applyAlignment="1">
      <alignment vertical="top"/>
    </xf>
    <xf numFmtId="0" fontId="21" fillId="2" borderId="0" xfId="3" applyFont="1" applyFill="1" applyAlignment="1">
      <alignment horizontal="right"/>
    </xf>
    <xf numFmtId="0" fontId="22" fillId="0" borderId="0" xfId="0" applyFont="1" applyAlignment="1">
      <alignment vertical="center"/>
    </xf>
    <xf numFmtId="0" fontId="4" fillId="0" borderId="0" xfId="0" applyFont="1" applyFill="1" applyBorder="1" applyAlignment="1">
      <alignment horizontal="left" vertical="center" wrapText="1"/>
    </xf>
    <xf numFmtId="0" fontId="5" fillId="3" borderId="0" xfId="0" applyFont="1" applyFill="1" applyBorder="1" applyAlignment="1">
      <alignment horizontal="left" vertical="top" wrapText="1"/>
    </xf>
    <xf numFmtId="0" fontId="0" fillId="4" borderId="10" xfId="0" applyFont="1" applyFill="1" applyBorder="1" applyAlignment="1" applyProtection="1">
      <alignment horizontal="center"/>
      <protection locked="0"/>
    </xf>
    <xf numFmtId="44" fontId="0" fillId="0" borderId="0" xfId="0" applyNumberFormat="1" applyFont="1" applyProtection="1"/>
    <xf numFmtId="0" fontId="0" fillId="3" borderId="0" xfId="0" applyFont="1" applyFill="1" applyBorder="1" applyAlignment="1">
      <alignment horizontal="center" vertical="top" wrapText="1"/>
    </xf>
    <xf numFmtId="0" fontId="2" fillId="3" borderId="6" xfId="0" applyFont="1" applyFill="1" applyBorder="1" applyAlignment="1">
      <alignment horizontal="right" vertical="top"/>
    </xf>
    <xf numFmtId="165" fontId="1" fillId="3" borderId="22" xfId="0" applyNumberFormat="1" applyFont="1" applyFill="1" applyBorder="1"/>
    <xf numFmtId="0" fontId="0" fillId="0" borderId="16" xfId="0" applyFont="1" applyFill="1" applyBorder="1" applyAlignment="1">
      <alignment horizontal="right" vertical="top"/>
    </xf>
    <xf numFmtId="0" fontId="0" fillId="0" borderId="0" xfId="0" applyAlignment="1">
      <alignment vertical="top"/>
    </xf>
    <xf numFmtId="0" fontId="0" fillId="0" borderId="0" xfId="0" applyAlignment="1">
      <alignment vertical="top"/>
    </xf>
    <xf numFmtId="164" fontId="0" fillId="2" borderId="13" xfId="2" applyNumberFormat="1" applyFont="1" applyFill="1" applyBorder="1" applyProtection="1"/>
    <xf numFmtId="0" fontId="0" fillId="2" borderId="20" xfId="0" applyFont="1" applyFill="1" applyBorder="1" applyAlignment="1" applyProtection="1">
      <alignment horizontal="right"/>
    </xf>
    <xf numFmtId="0" fontId="0" fillId="2" borderId="13" xfId="0" applyFont="1" applyFill="1" applyBorder="1" applyAlignment="1" applyProtection="1">
      <alignment horizontal="right"/>
    </xf>
    <xf numFmtId="0" fontId="4" fillId="10" borderId="0" xfId="0" applyFont="1" applyFill="1" applyAlignment="1">
      <alignment vertical="top"/>
    </xf>
    <xf numFmtId="0" fontId="3" fillId="10" borderId="0" xfId="0" applyFont="1" applyFill="1" applyAlignment="1">
      <alignment vertical="top"/>
    </xf>
    <xf numFmtId="0" fontId="0" fillId="10" borderId="0" xfId="0" applyFill="1" applyAlignment="1">
      <alignment vertical="top"/>
    </xf>
    <xf numFmtId="0" fontId="0" fillId="10" borderId="0" xfId="0" applyNumberFormat="1" applyFont="1" applyFill="1" applyBorder="1" applyAlignment="1" applyProtection="1">
      <alignment horizontal="center"/>
    </xf>
    <xf numFmtId="0" fontId="3" fillId="10" borderId="0" xfId="0" applyFont="1" applyFill="1" applyProtection="1"/>
    <xf numFmtId="0" fontId="4" fillId="10" borderId="0" xfId="0" applyFont="1" applyFill="1"/>
    <xf numFmtId="0" fontId="13" fillId="10" borderId="2" xfId="0" applyFont="1" applyFill="1" applyBorder="1" applyAlignment="1">
      <alignment wrapText="1"/>
    </xf>
    <xf numFmtId="0" fontId="0" fillId="10" borderId="0" xfId="0" applyFont="1" applyFill="1"/>
    <xf numFmtId="0" fontId="0" fillId="10" borderId="0" xfId="0" applyFont="1" applyFill="1" applyBorder="1"/>
    <xf numFmtId="0" fontId="0" fillId="10" borderId="2" xfId="0" applyFont="1" applyFill="1" applyBorder="1"/>
    <xf numFmtId="0" fontId="0" fillId="10" borderId="7" xfId="0" applyFont="1" applyFill="1" applyBorder="1"/>
    <xf numFmtId="0" fontId="0" fillId="2" borderId="13" xfId="0" applyFont="1" applyFill="1" applyBorder="1"/>
    <xf numFmtId="0" fontId="0" fillId="9" borderId="12" xfId="0" applyFont="1" applyFill="1" applyBorder="1" applyAlignment="1">
      <alignment horizontal="left"/>
    </xf>
    <xf numFmtId="0" fontId="0" fillId="9" borderId="12" xfId="0" applyFont="1" applyFill="1" applyBorder="1" applyAlignment="1">
      <alignment horizontal="right"/>
    </xf>
    <xf numFmtId="1" fontId="0" fillId="2" borderId="1" xfId="0" applyNumberFormat="1" applyFont="1" applyFill="1" applyBorder="1" applyAlignment="1" applyProtection="1">
      <alignment horizontal="center"/>
    </xf>
    <xf numFmtId="166" fontId="0" fillId="2" borderId="10" xfId="0" applyNumberFormat="1" applyFont="1" applyFill="1" applyBorder="1" applyAlignment="1" applyProtection="1">
      <alignment horizontal="center"/>
    </xf>
    <xf numFmtId="0" fontId="0" fillId="2" borderId="16" xfId="0" applyFont="1" applyFill="1" applyBorder="1" applyAlignment="1">
      <alignment horizontal="right"/>
    </xf>
    <xf numFmtId="0" fontId="0" fillId="9" borderId="11" xfId="0" applyFont="1" applyFill="1" applyBorder="1" applyAlignment="1">
      <alignment horizontal="left"/>
    </xf>
    <xf numFmtId="0" fontId="0" fillId="2" borderId="7" xfId="0" applyFont="1" applyFill="1" applyBorder="1" applyAlignment="1">
      <alignment horizontal="right" vertical="top" wrapText="1"/>
    </xf>
    <xf numFmtId="0" fontId="1" fillId="3" borderId="0" xfId="3" applyFont="1" applyFill="1" applyBorder="1" applyAlignment="1">
      <alignment horizontal="right"/>
    </xf>
    <xf numFmtId="0" fontId="0" fillId="2" borderId="11" xfId="0" applyFont="1" applyFill="1" applyBorder="1" applyAlignment="1" applyProtection="1">
      <alignment horizontal="left"/>
    </xf>
    <xf numFmtId="0" fontId="0" fillId="2" borderId="11" xfId="0" applyFont="1" applyFill="1" applyBorder="1" applyAlignment="1">
      <alignment horizontal="left" vertical="top"/>
    </xf>
    <xf numFmtId="0" fontId="0" fillId="9" borderId="11" xfId="0" applyFont="1" applyFill="1" applyBorder="1" applyAlignment="1">
      <alignment horizontal="right"/>
    </xf>
    <xf numFmtId="0" fontId="0" fillId="2" borderId="11" xfId="0" applyFont="1" applyFill="1" applyBorder="1" applyAlignment="1">
      <alignment horizontal="right"/>
    </xf>
    <xf numFmtId="44" fontId="0" fillId="2" borderId="0" xfId="0" applyNumberFormat="1" applyFont="1" applyFill="1" applyBorder="1" applyProtection="1"/>
    <xf numFmtId="0" fontId="5" fillId="2" borderId="25" xfId="0" applyFont="1" applyFill="1" applyBorder="1" applyAlignment="1" applyProtection="1">
      <alignment horizontal="left"/>
    </xf>
    <xf numFmtId="0" fontId="0" fillId="2" borderId="11" xfId="0" applyFont="1" applyFill="1" applyBorder="1" applyAlignment="1" applyProtection="1">
      <alignment horizontal="right" vertical="center"/>
    </xf>
    <xf numFmtId="0" fontId="0" fillId="2" borderId="11" xfId="0" applyFont="1" applyFill="1" applyBorder="1" applyAlignment="1" applyProtection="1">
      <alignment horizontal="center"/>
    </xf>
    <xf numFmtId="0" fontId="5" fillId="2" borderId="8" xfId="0" applyFont="1" applyFill="1" applyBorder="1" applyAlignment="1" applyProtection="1">
      <alignment horizontal="left" vertical="center" wrapText="1"/>
    </xf>
    <xf numFmtId="0" fontId="2" fillId="2" borderId="2"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5" fillId="2" borderId="8" xfId="0" applyFont="1" applyFill="1" applyBorder="1" applyAlignment="1" applyProtection="1">
      <alignment horizontal="left" vertical="center"/>
    </xf>
    <xf numFmtId="0" fontId="2" fillId="2" borderId="19" xfId="0" applyFont="1" applyFill="1" applyBorder="1" applyAlignment="1" applyProtection="1">
      <alignment horizontal="center" wrapText="1"/>
    </xf>
    <xf numFmtId="0" fontId="5" fillId="2" borderId="8" xfId="0" applyFont="1" applyFill="1" applyBorder="1" applyAlignment="1" applyProtection="1">
      <alignment horizontal="left"/>
    </xf>
    <xf numFmtId="0" fontId="0" fillId="2" borderId="2" xfId="0" applyFont="1" applyFill="1" applyBorder="1" applyProtection="1"/>
    <xf numFmtId="9" fontId="0" fillId="0" borderId="10" xfId="2" applyFont="1" applyFill="1" applyBorder="1" applyProtection="1">
      <protection locked="0"/>
    </xf>
    <xf numFmtId="44" fontId="0" fillId="4" borderId="1" xfId="1" applyFont="1" applyFill="1" applyBorder="1" applyAlignment="1" applyProtection="1">
      <alignment horizontal="center"/>
      <protection locked="0"/>
    </xf>
    <xf numFmtId="44" fontId="0" fillId="4" borderId="3" xfId="1" applyFont="1" applyFill="1" applyBorder="1" applyAlignment="1" applyProtection="1">
      <alignment horizontal="center"/>
      <protection locked="0"/>
    </xf>
    <xf numFmtId="44" fontId="0" fillId="2" borderId="1" xfId="0" applyNumberFormat="1" applyFont="1" applyFill="1" applyBorder="1" applyProtection="1"/>
    <xf numFmtId="165" fontId="0" fillId="7" borderId="1" xfId="1" applyNumberFormat="1" applyFont="1" applyFill="1" applyBorder="1" applyProtection="1"/>
    <xf numFmtId="165" fontId="2" fillId="7" borderId="16" xfId="1" applyNumberFormat="1" applyFont="1" applyFill="1" applyBorder="1" applyProtection="1"/>
    <xf numFmtId="0" fontId="21" fillId="2" borderId="6" xfId="3" applyFont="1" applyFill="1" applyBorder="1" applyAlignment="1" applyProtection="1">
      <alignment horizontal="right"/>
      <protection locked="0"/>
    </xf>
    <xf numFmtId="0" fontId="21" fillId="2" borderId="10" xfId="3" applyFont="1" applyFill="1" applyBorder="1" applyAlignment="1" applyProtection="1">
      <alignment horizontal="right"/>
      <protection locked="0"/>
    </xf>
    <xf numFmtId="0" fontId="21" fillId="2" borderId="0" xfId="3" applyFont="1" applyFill="1" applyBorder="1" applyAlignment="1" applyProtection="1">
      <alignment horizontal="right"/>
      <protection locked="0"/>
    </xf>
    <xf numFmtId="0" fontId="21" fillId="2" borderId="0" xfId="3" applyFont="1" applyFill="1" applyBorder="1" applyAlignment="1" applyProtection="1">
      <alignment horizontal="right" vertical="top" wrapText="1"/>
      <protection locked="0"/>
    </xf>
    <xf numFmtId="0" fontId="21" fillId="2" borderId="0" xfId="3" quotePrefix="1" applyFont="1" applyFill="1" applyBorder="1" applyAlignment="1" applyProtection="1">
      <alignment horizontal="right" vertical="top" wrapText="1"/>
      <protection locked="0"/>
    </xf>
    <xf numFmtId="0" fontId="14" fillId="2" borderId="0" xfId="3" applyFill="1" applyBorder="1" applyAlignment="1" applyProtection="1">
      <alignment horizontal="right" vertical="top" wrapText="1"/>
      <protection locked="0"/>
    </xf>
    <xf numFmtId="0" fontId="0" fillId="0" borderId="0" xfId="0" applyAlignment="1">
      <alignment vertical="top"/>
    </xf>
    <xf numFmtId="0" fontId="25" fillId="0" borderId="0" xfId="0" applyFont="1" applyProtection="1"/>
    <xf numFmtId="166" fontId="0" fillId="2" borderId="11" xfId="0" applyNumberFormat="1" applyFont="1" applyFill="1" applyBorder="1" applyAlignment="1" applyProtection="1">
      <alignment horizontal="center"/>
    </xf>
    <xf numFmtId="0" fontId="18" fillId="2" borderId="0" xfId="0" applyFont="1" applyFill="1" applyBorder="1" applyAlignment="1">
      <alignment horizontal="right"/>
    </xf>
    <xf numFmtId="0" fontId="0" fillId="2" borderId="1" xfId="0" applyFont="1" applyFill="1" applyBorder="1" applyAlignment="1">
      <alignment horizontal="left"/>
    </xf>
    <xf numFmtId="44" fontId="2" fillId="2" borderId="1" xfId="0" applyNumberFormat="1" applyFont="1" applyFill="1" applyBorder="1" applyProtection="1"/>
    <xf numFmtId="44" fontId="2" fillId="2" borderId="15" xfId="0" applyNumberFormat="1" applyFont="1" applyFill="1" applyBorder="1" applyProtection="1"/>
    <xf numFmtId="0" fontId="0" fillId="3" borderId="1" xfId="0" applyFont="1" applyFill="1" applyBorder="1" applyAlignment="1" applyProtection="1">
      <alignment horizontal="right"/>
    </xf>
    <xf numFmtId="9" fontId="0" fillId="3" borderId="1" xfId="2" applyFont="1" applyFill="1" applyBorder="1" applyAlignment="1" applyProtection="1">
      <alignment horizontal="center"/>
    </xf>
    <xf numFmtId="0" fontId="0" fillId="2" borderId="16" xfId="0" applyFont="1" applyFill="1" applyBorder="1" applyAlignment="1" applyProtection="1">
      <alignment horizontal="right"/>
    </xf>
    <xf numFmtId="0" fontId="0" fillId="2" borderId="6" xfId="0" applyFont="1" applyFill="1" applyBorder="1" applyAlignment="1" applyProtection="1">
      <alignment horizontal="right"/>
    </xf>
    <xf numFmtId="0" fontId="0" fillId="3" borderId="8" xfId="0" applyFont="1" applyFill="1" applyBorder="1" applyAlignment="1" applyProtection="1">
      <alignment horizontal="right"/>
    </xf>
    <xf numFmtId="44" fontId="0" fillId="3" borderId="8" xfId="2" applyNumberFormat="1" applyFont="1" applyFill="1" applyBorder="1" applyProtection="1"/>
    <xf numFmtId="0" fontId="0" fillId="3" borderId="11" xfId="0" applyFont="1" applyFill="1" applyBorder="1" applyAlignment="1" applyProtection="1">
      <alignment horizontal="right"/>
    </xf>
    <xf numFmtId="0" fontId="0" fillId="2" borderId="10" xfId="0" applyFont="1" applyFill="1" applyBorder="1" applyAlignment="1" applyProtection="1">
      <alignment horizontal="right"/>
    </xf>
    <xf numFmtId="0" fontId="0" fillId="2" borderId="2" xfId="0" applyFont="1" applyFill="1" applyBorder="1" applyAlignment="1">
      <alignment horizontal="right"/>
    </xf>
    <xf numFmtId="44" fontId="0" fillId="3" borderId="11" xfId="2" applyNumberFormat="1" applyFont="1" applyFill="1" applyBorder="1" applyProtection="1"/>
    <xf numFmtId="44" fontId="0" fillId="3" borderId="11" xfId="0" applyNumberFormat="1" applyFont="1" applyFill="1" applyBorder="1" applyProtection="1"/>
    <xf numFmtId="164" fontId="0" fillId="2" borderId="10" xfId="0" applyNumberFormat="1" applyFont="1" applyFill="1" applyBorder="1" applyAlignment="1" applyProtection="1">
      <alignment horizontal="center"/>
    </xf>
    <xf numFmtId="164" fontId="2" fillId="2" borderId="11" xfId="2" applyNumberFormat="1" applyFont="1" applyFill="1" applyBorder="1" applyAlignment="1" applyProtection="1">
      <alignment horizontal="center"/>
    </xf>
    <xf numFmtId="0" fontId="0" fillId="3" borderId="19" xfId="0" applyFont="1" applyFill="1" applyBorder="1" applyAlignment="1" applyProtection="1">
      <alignment horizontal="right"/>
    </xf>
    <xf numFmtId="0" fontId="2" fillId="2" borderId="28" xfId="0" applyFont="1" applyFill="1" applyBorder="1" applyAlignment="1" applyProtection="1">
      <alignment horizontal="right"/>
    </xf>
    <xf numFmtId="165" fontId="2" fillId="2" borderId="29" xfId="1" applyNumberFormat="1" applyFont="1" applyFill="1" applyBorder="1" applyProtection="1"/>
    <xf numFmtId="165" fontId="2" fillId="2" borderId="30" xfId="1" applyNumberFormat="1" applyFont="1" applyFill="1" applyBorder="1" applyProtection="1"/>
    <xf numFmtId="0" fontId="21" fillId="2" borderId="0" xfId="3" applyFont="1" applyFill="1" applyAlignment="1" applyProtection="1">
      <alignment horizontal="right"/>
      <protection locked="0"/>
    </xf>
    <xf numFmtId="0" fontId="21" fillId="2" borderId="0" xfId="3" applyFont="1" applyFill="1" applyBorder="1" applyAlignment="1" applyProtection="1">
      <alignment horizontal="right" vertical="top"/>
      <protection locked="0"/>
    </xf>
    <xf numFmtId="0" fontId="21" fillId="3" borderId="0" xfId="3" applyFont="1" applyFill="1" applyBorder="1" applyAlignment="1" applyProtection="1">
      <alignment horizontal="right"/>
      <protection locked="0"/>
    </xf>
    <xf numFmtId="0" fontId="0" fillId="0" borderId="0" xfId="0" applyAlignment="1">
      <alignment vertical="top"/>
    </xf>
    <xf numFmtId="0" fontId="5" fillId="2" borderId="3" xfId="0" applyFont="1" applyFill="1" applyBorder="1" applyAlignment="1" applyProtection="1">
      <alignment horizontal="left"/>
    </xf>
    <xf numFmtId="0" fontId="25" fillId="2" borderId="0" xfId="0" applyFont="1" applyFill="1" applyProtection="1"/>
    <xf numFmtId="165" fontId="2" fillId="2" borderId="1" xfId="0" applyNumberFormat="1" applyFont="1" applyFill="1" applyBorder="1" applyProtection="1"/>
    <xf numFmtId="165" fontId="0" fillId="2" borderId="11" xfId="0" applyNumberFormat="1" applyFont="1" applyFill="1" applyBorder="1" applyProtection="1"/>
    <xf numFmtId="44" fontId="2" fillId="2" borderId="19" xfId="0" applyNumberFormat="1" applyFont="1" applyFill="1" applyBorder="1" applyProtection="1"/>
    <xf numFmtId="44" fontId="2" fillId="2" borderId="11" xfId="0" applyNumberFormat="1" applyFont="1" applyFill="1" applyBorder="1" applyProtection="1"/>
    <xf numFmtId="0" fontId="27" fillId="2" borderId="0" xfId="0" applyFont="1" applyFill="1" applyBorder="1" applyAlignment="1" applyProtection="1">
      <alignment vertical="top" wrapText="1"/>
    </xf>
    <xf numFmtId="0" fontId="0" fillId="2" borderId="10" xfId="0" applyFill="1" applyBorder="1" applyAlignment="1">
      <alignment horizontal="right"/>
    </xf>
    <xf numFmtId="0" fontId="0" fillId="2" borderId="11" xfId="0" applyFill="1" applyBorder="1" applyAlignment="1">
      <alignment horizontal="right"/>
    </xf>
    <xf numFmtId="0" fontId="2" fillId="2" borderId="16" xfId="0" applyFont="1" applyFill="1" applyBorder="1" applyAlignment="1">
      <alignment horizontal="left" vertical="top"/>
    </xf>
    <xf numFmtId="165" fontId="2" fillId="7" borderId="1" xfId="1" applyNumberFormat="1" applyFont="1" applyFill="1" applyBorder="1" applyProtection="1"/>
    <xf numFmtId="0" fontId="2" fillId="2" borderId="16" xfId="0" applyFont="1" applyFill="1" applyBorder="1" applyAlignment="1">
      <alignment horizontal="right"/>
    </xf>
    <xf numFmtId="165" fontId="2" fillId="7" borderId="1" xfId="1" applyNumberFormat="1" applyFont="1" applyFill="1" applyBorder="1"/>
    <xf numFmtId="44" fontId="2" fillId="2" borderId="1" xfId="2" applyNumberFormat="1" applyFont="1" applyFill="1" applyBorder="1" applyProtection="1"/>
    <xf numFmtId="0" fontId="25" fillId="0" borderId="0" xfId="0" applyFont="1" applyFill="1" applyBorder="1" applyAlignment="1" applyProtection="1">
      <alignment vertical="top" wrapText="1"/>
    </xf>
    <xf numFmtId="9" fontId="1" fillId="0" borderId="1" xfId="2" applyFont="1" applyBorder="1" applyAlignment="1" applyProtection="1">
      <alignment horizontal="center"/>
      <protection locked="0"/>
    </xf>
    <xf numFmtId="1" fontId="1" fillId="2" borderId="11" xfId="2" applyNumberFormat="1" applyFont="1" applyFill="1" applyBorder="1" applyAlignment="1" applyProtection="1">
      <alignment horizontal="center"/>
    </xf>
    <xf numFmtId="0" fontId="0" fillId="0" borderId="0" xfId="0" applyFont="1" applyFill="1"/>
    <xf numFmtId="9" fontId="1" fillId="0" borderId="11" xfId="2" applyFont="1" applyBorder="1" applyAlignment="1" applyProtection="1">
      <alignment horizontal="center"/>
      <protection locked="0"/>
    </xf>
    <xf numFmtId="0" fontId="25" fillId="0" borderId="0" xfId="0" applyFont="1" applyBorder="1" applyProtection="1"/>
    <xf numFmtId="0" fontId="2" fillId="0" borderId="3" xfId="0" applyFont="1" applyBorder="1" applyAlignment="1">
      <alignment horizontal="right"/>
    </xf>
    <xf numFmtId="165" fontId="2" fillId="2" borderId="1" xfId="1" applyNumberFormat="1" applyFont="1" applyFill="1" applyBorder="1" applyProtection="1"/>
    <xf numFmtId="167" fontId="2" fillId="2" borderId="1" xfId="0" applyNumberFormat="1" applyFont="1" applyFill="1" applyBorder="1" applyProtection="1"/>
    <xf numFmtId="0" fontId="2" fillId="2" borderId="3" xfId="0" applyFont="1" applyFill="1" applyBorder="1" applyAlignment="1" applyProtection="1">
      <alignment horizontal="center" vertical="center" wrapText="1"/>
    </xf>
    <xf numFmtId="0" fontId="1" fillId="0" borderId="0" xfId="0" applyFont="1" applyProtection="1"/>
    <xf numFmtId="0" fontId="1" fillId="3" borderId="1" xfId="0" applyFont="1" applyFill="1" applyBorder="1" applyAlignment="1" applyProtection="1">
      <alignment horizontal="center"/>
    </xf>
    <xf numFmtId="0" fontId="1" fillId="0" borderId="1" xfId="0" applyFont="1" applyBorder="1" applyAlignment="1" applyProtection="1">
      <alignment horizontal="center"/>
    </xf>
    <xf numFmtId="164" fontId="1" fillId="3" borderId="1" xfId="2" applyNumberFormat="1" applyFont="1" applyFill="1" applyBorder="1" applyProtection="1"/>
    <xf numFmtId="164" fontId="1" fillId="0" borderId="1" xfId="2" applyNumberFormat="1" applyFont="1" applyBorder="1" applyProtection="1"/>
    <xf numFmtId="164" fontId="1" fillId="5" borderId="1" xfId="2" applyNumberFormat="1" applyFont="1" applyFill="1" applyBorder="1" applyProtection="1"/>
    <xf numFmtId="44" fontId="1" fillId="0" borderId="0" xfId="0" applyNumberFormat="1" applyFont="1" applyProtection="1"/>
    <xf numFmtId="0" fontId="1" fillId="0" borderId="1" xfId="0" applyFont="1" applyFill="1" applyBorder="1" applyAlignment="1" applyProtection="1">
      <alignment horizontal="center"/>
    </xf>
    <xf numFmtId="0" fontId="1" fillId="6" borderId="1" xfId="0" applyFont="1" applyFill="1" applyBorder="1" applyAlignment="1" applyProtection="1"/>
    <xf numFmtId="0" fontId="1" fillId="0" borderId="0" xfId="0" applyFont="1" applyFill="1" applyAlignment="1" applyProtection="1">
      <alignment horizontal="right"/>
    </xf>
    <xf numFmtId="165" fontId="1" fillId="2" borderId="1" xfId="1" applyNumberFormat="1" applyFont="1" applyFill="1" applyBorder="1" applyProtection="1"/>
    <xf numFmtId="0" fontId="1" fillId="0" borderId="13" xfId="0" applyFont="1" applyFill="1" applyBorder="1" applyAlignment="1" applyProtection="1">
      <alignment horizontal="right"/>
    </xf>
    <xf numFmtId="44" fontId="1" fillId="0" borderId="13" xfId="0" applyNumberFormat="1" applyFont="1" applyFill="1" applyBorder="1" applyAlignment="1" applyProtection="1">
      <alignment horizontal="right"/>
    </xf>
    <xf numFmtId="0" fontId="1" fillId="0" borderId="9" xfId="0" applyFont="1" applyFill="1" applyBorder="1" applyAlignment="1" applyProtection="1">
      <alignment horizontal="right"/>
    </xf>
    <xf numFmtId="0" fontId="1" fillId="0" borderId="0" xfId="0" applyFont="1" applyAlignment="1" applyProtection="1">
      <alignment horizontal="right"/>
    </xf>
    <xf numFmtId="0" fontId="1" fillId="6" borderId="1" xfId="0" applyFont="1" applyFill="1" applyBorder="1" applyAlignment="1" applyProtection="1">
      <alignment horizontal="left"/>
    </xf>
    <xf numFmtId="164" fontId="1" fillId="2" borderId="1" xfId="2" applyNumberFormat="1" applyFont="1" applyFill="1" applyBorder="1" applyProtection="1"/>
    <xf numFmtId="164" fontId="1" fillId="2" borderId="1" xfId="0" applyNumberFormat="1" applyFont="1" applyFill="1" applyBorder="1" applyProtection="1"/>
    <xf numFmtId="0" fontId="1" fillId="2" borderId="1" xfId="0" applyFont="1" applyFill="1" applyBorder="1" applyProtection="1"/>
    <xf numFmtId="165" fontId="1" fillId="2" borderId="1" xfId="1" applyNumberFormat="1" applyFont="1" applyFill="1" applyBorder="1" applyAlignment="1" applyProtection="1">
      <alignment horizontal="left"/>
    </xf>
    <xf numFmtId="0" fontId="1" fillId="6" borderId="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1" fontId="1" fillId="2" borderId="1" xfId="0" applyNumberFormat="1" applyFont="1" applyFill="1" applyBorder="1" applyAlignment="1" applyProtection="1">
      <alignment vertical="top" wrapText="1"/>
    </xf>
    <xf numFmtId="0" fontId="1" fillId="2" borderId="1" xfId="0" applyFont="1" applyFill="1" applyBorder="1" applyAlignment="1" applyProtection="1">
      <alignment horizontal="center"/>
    </xf>
    <xf numFmtId="166" fontId="1" fillId="2" borderId="1" xfId="0" applyNumberFormat="1" applyFont="1" applyFill="1" applyBorder="1" applyProtection="1"/>
    <xf numFmtId="0" fontId="1" fillId="0" borderId="0" xfId="0" applyFont="1" applyFill="1" applyBorder="1" applyAlignment="1" applyProtection="1">
      <alignment horizontal="right"/>
    </xf>
    <xf numFmtId="44" fontId="1" fillId="2" borderId="1" xfId="1" applyNumberFormat="1" applyFont="1" applyFill="1" applyBorder="1" applyProtection="1"/>
    <xf numFmtId="6" fontId="1" fillId="0" borderId="0" xfId="0" applyNumberFormat="1" applyFont="1" applyAlignment="1" applyProtection="1">
      <alignment horizontal="right"/>
    </xf>
    <xf numFmtId="165" fontId="1" fillId="2" borderId="1" xfId="0" applyNumberFormat="1" applyFont="1" applyFill="1" applyBorder="1" applyProtection="1"/>
    <xf numFmtId="44" fontId="1" fillId="0" borderId="0" xfId="0" applyNumberFormat="1" applyFont="1" applyAlignment="1" applyProtection="1">
      <alignment horizontal="right"/>
    </xf>
    <xf numFmtId="0" fontId="1" fillId="0" borderId="1" xfId="0" applyFont="1" applyFill="1" applyBorder="1" applyAlignment="1" applyProtection="1">
      <alignment horizontal="right"/>
    </xf>
    <xf numFmtId="165" fontId="1" fillId="0" borderId="0" xfId="0" applyNumberFormat="1" applyFont="1" applyFill="1" applyBorder="1" applyProtection="1"/>
    <xf numFmtId="165" fontId="1" fillId="0" borderId="1" xfId="0" applyNumberFormat="1" applyFont="1" applyFill="1" applyBorder="1" applyProtection="1"/>
    <xf numFmtId="0" fontId="1" fillId="0" borderId="0" xfId="0" applyFont="1" applyFill="1" applyBorder="1" applyAlignment="1" applyProtection="1">
      <alignment horizontal="left"/>
    </xf>
    <xf numFmtId="0" fontId="1" fillId="0" borderId="16" xfId="0" applyFont="1" applyFill="1" applyBorder="1" applyAlignment="1">
      <alignment horizontal="right"/>
    </xf>
    <xf numFmtId="165" fontId="1" fillId="7" borderId="1" xfId="0" applyNumberFormat="1" applyFont="1" applyFill="1" applyBorder="1" applyProtection="1"/>
    <xf numFmtId="0" fontId="1" fillId="6" borderId="2" xfId="0" applyFont="1" applyFill="1" applyBorder="1" applyAlignment="1" applyProtection="1">
      <alignment horizontal="left"/>
    </xf>
    <xf numFmtId="0" fontId="1" fillId="0" borderId="2" xfId="0" applyFont="1" applyBorder="1" applyAlignment="1" applyProtection="1">
      <alignment horizontal="right"/>
    </xf>
    <xf numFmtId="1" fontId="1" fillId="2" borderId="1" xfId="0" applyNumberFormat="1" applyFont="1" applyFill="1" applyBorder="1" applyAlignment="1" applyProtection="1">
      <alignment horizontal="right"/>
    </xf>
    <xf numFmtId="9" fontId="1" fillId="2" borderId="1" xfId="0" applyNumberFormat="1" applyFont="1" applyFill="1" applyBorder="1" applyProtection="1"/>
    <xf numFmtId="1" fontId="1" fillId="2" borderId="1" xfId="0" applyNumberFormat="1" applyFont="1" applyFill="1" applyBorder="1" applyProtection="1"/>
    <xf numFmtId="9" fontId="1" fillId="2" borderId="1" xfId="2" applyFont="1" applyFill="1" applyBorder="1" applyProtection="1"/>
    <xf numFmtId="0" fontId="1" fillId="0" borderId="2" xfId="0" applyFont="1" applyFill="1" applyBorder="1" applyAlignment="1" applyProtection="1">
      <alignment horizontal="center"/>
    </xf>
    <xf numFmtId="0" fontId="1" fillId="0" borderId="2" xfId="0" applyFont="1" applyBorder="1" applyProtection="1"/>
    <xf numFmtId="1" fontId="1" fillId="0" borderId="0" xfId="2" applyNumberFormat="1" applyFont="1" applyFill="1" applyBorder="1" applyAlignment="1" applyProtection="1">
      <alignment horizontal="center"/>
    </xf>
    <xf numFmtId="0" fontId="1" fillId="2" borderId="1" xfId="0" applyFont="1" applyFill="1" applyBorder="1" applyAlignment="1" applyProtection="1">
      <alignment horizontal="right"/>
    </xf>
    <xf numFmtId="166" fontId="1" fillId="2" borderId="1" xfId="1" applyNumberFormat="1" applyFont="1" applyFill="1" applyBorder="1" applyAlignment="1" applyProtection="1">
      <alignment horizontal="center"/>
    </xf>
    <xf numFmtId="166" fontId="1" fillId="0" borderId="0" xfId="1" applyNumberFormat="1" applyFont="1" applyFill="1" applyBorder="1" applyAlignment="1" applyProtection="1">
      <alignment horizontal="center"/>
    </xf>
    <xf numFmtId="0" fontId="1" fillId="6" borderId="1" xfId="0" applyFont="1" applyFill="1" applyBorder="1" applyProtection="1"/>
    <xf numFmtId="0" fontId="1" fillId="6" borderId="10" xfId="0" applyFont="1" applyFill="1" applyBorder="1" applyProtection="1"/>
    <xf numFmtId="0" fontId="1" fillId="0" borderId="0" xfId="0" applyFont="1" applyFill="1" applyBorder="1" applyProtection="1"/>
    <xf numFmtId="44" fontId="1" fillId="2" borderId="1" xfId="0" applyNumberFormat="1" applyFont="1" applyFill="1" applyBorder="1" applyAlignment="1" applyProtection="1"/>
    <xf numFmtId="44" fontId="1" fillId="2" borderId="1" xfId="0" applyNumberFormat="1" applyFont="1" applyFill="1" applyBorder="1" applyProtection="1"/>
    <xf numFmtId="0" fontId="1" fillId="6" borderId="0" xfId="0" applyFont="1" applyFill="1" applyAlignment="1">
      <alignment horizontal="left"/>
    </xf>
    <xf numFmtId="0" fontId="1" fillId="0" borderId="0" xfId="0" applyFont="1" applyAlignment="1">
      <alignment horizontal="right"/>
    </xf>
    <xf numFmtId="0" fontId="1" fillId="2" borderId="0" xfId="3" applyFont="1" applyFill="1" applyAlignment="1" applyProtection="1">
      <alignment horizontal="right"/>
    </xf>
    <xf numFmtId="0" fontId="0" fillId="0" borderId="10" xfId="0" applyFill="1" applyBorder="1" applyAlignment="1">
      <alignment horizontal="right" vertical="top"/>
    </xf>
    <xf numFmtId="0" fontId="0" fillId="0" borderId="11" xfId="0" applyFill="1" applyBorder="1" applyAlignment="1">
      <alignment horizontal="right" vertical="top"/>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0" fillId="4" borderId="5" xfId="0" applyFont="1" applyFill="1" applyBorder="1" applyAlignment="1">
      <alignment horizontal="center"/>
    </xf>
    <xf numFmtId="0" fontId="5" fillId="2" borderId="4" xfId="0" applyFont="1" applyFill="1" applyBorder="1" applyAlignment="1">
      <alignment horizontal="center"/>
    </xf>
    <xf numFmtId="0" fontId="9" fillId="2" borderId="2"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4" xfId="0" applyFont="1" applyFill="1" applyBorder="1" applyAlignment="1" applyProtection="1">
      <alignment horizontal="center" wrapText="1"/>
    </xf>
    <xf numFmtId="0" fontId="0" fillId="0" borderId="0" xfId="0" applyAlignment="1">
      <alignment horizontal="left" vertical="top"/>
    </xf>
    <xf numFmtId="0" fontId="0" fillId="0" borderId="0" xfId="0" applyAlignment="1">
      <alignment vertical="top"/>
    </xf>
    <xf numFmtId="0" fontId="0" fillId="0" borderId="0" xfId="0" applyFont="1" applyAlignment="1">
      <alignment horizontal="left" vertical="top"/>
    </xf>
    <xf numFmtId="0" fontId="0" fillId="2" borderId="0" xfId="0" applyFont="1" applyFill="1" applyAlignment="1">
      <alignment horizontal="left" vertical="top" wrapText="1"/>
    </xf>
    <xf numFmtId="0" fontId="12" fillId="0" borderId="0" xfId="0" applyFont="1" applyAlignment="1">
      <alignment horizontal="left" vertical="top" wrapText="1" readingOrder="1"/>
    </xf>
    <xf numFmtId="0" fontId="0" fillId="0" borderId="0" xfId="0" applyFont="1" applyAlignment="1">
      <alignment horizontal="left" vertical="top" wrapText="1"/>
    </xf>
    <xf numFmtId="0" fontId="15" fillId="0" borderId="0" xfId="0" applyFont="1" applyAlignment="1">
      <alignment horizontal="left" vertical="top" wrapText="1" readingOrder="1"/>
    </xf>
    <xf numFmtId="0" fontId="0" fillId="0" borderId="12" xfId="0" applyFont="1" applyBorder="1" applyAlignment="1">
      <alignment horizontal="left" vertical="top" wrapText="1"/>
    </xf>
    <xf numFmtId="0" fontId="0" fillId="0" borderId="0" xfId="0" applyAlignment="1">
      <alignment horizontal="left" vertical="top" wrapText="1"/>
    </xf>
    <xf numFmtId="0" fontId="3" fillId="3" borderId="0" xfId="0" applyFont="1" applyFill="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readingOrder="1"/>
    </xf>
    <xf numFmtId="0" fontId="3" fillId="3" borderId="0" xfId="0" applyFont="1" applyFill="1" applyAlignment="1">
      <alignment horizontal="left" vertical="top"/>
    </xf>
    <xf numFmtId="0" fontId="15" fillId="0" borderId="0" xfId="0" applyFont="1" applyBorder="1" applyAlignment="1">
      <alignment horizontal="left" vertical="top" wrapText="1" readingOrder="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9" fontId="1" fillId="0" borderId="1" xfId="2" applyFont="1" applyFill="1" applyBorder="1" applyAlignment="1" applyProtection="1">
      <alignment horizont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66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1065378</xdr:colOff>
      <xdr:row>63</xdr:row>
      <xdr:rowOff>38038</xdr:rowOff>
    </xdr:from>
    <xdr:to>
      <xdr:col>2</xdr:col>
      <xdr:colOff>3451823</xdr:colOff>
      <xdr:row>63</xdr:row>
      <xdr:rowOff>372167</xdr:rowOff>
    </xdr:to>
    <xdr:sp macro="" textlink="">
      <xdr:nvSpPr>
        <xdr:cNvPr id="2" name="Footer Placeholder 4">
          <a:extLst>
            <a:ext uri="{FF2B5EF4-FFF2-40B4-BE49-F238E27FC236}">
              <a16:creationId xmlns:a16="http://schemas.microsoft.com/office/drawing/2014/main" id="{87A56D9A-E8F5-E142-A2BD-AA749E2ED14E}"/>
            </a:ext>
          </a:extLst>
        </xdr:cNvPr>
        <xdr:cNvSpPr txBox="1">
          <a:spLocks/>
        </xdr:cNvSpPr>
      </xdr:nvSpPr>
      <xdr:spPr>
        <a:xfrm>
          <a:off x="4225611" y="12747883"/>
          <a:ext cx="2386445" cy="334129"/>
        </a:xfrm>
        <a:prstGeom prst="rect">
          <a:avLst/>
        </a:prstGeom>
      </xdr:spPr>
      <xdr:txBody>
        <a:bodyPr vert="horz" wrap="square" lIns="84716" tIns="42358" rIns="84716" bIns="42358" rtlCol="0" anchor="ctr">
          <a:noAutofit/>
        </a:bodyPr>
        <a:lstStyle>
          <a:defPPr>
            <a:defRPr lang="en-US"/>
          </a:defPPr>
          <a:lvl1pPr marL="0" algn="l" defTabSz="987552" rtl="0" eaLnBrk="1" latinLnBrk="0" hangingPunct="1">
            <a:defRPr sz="1944" kern="1200">
              <a:solidFill>
                <a:schemeClr val="tx1"/>
              </a:solidFill>
              <a:latin typeface="+mn-lt"/>
              <a:ea typeface="+mn-ea"/>
              <a:cs typeface="+mn-cs"/>
            </a:defRPr>
          </a:lvl1pPr>
          <a:lvl2pPr marL="493776" algn="l" defTabSz="987552" rtl="0" eaLnBrk="1" latinLnBrk="0" hangingPunct="1">
            <a:defRPr sz="1944" kern="1200">
              <a:solidFill>
                <a:schemeClr val="tx1"/>
              </a:solidFill>
              <a:latin typeface="+mn-lt"/>
              <a:ea typeface="+mn-ea"/>
              <a:cs typeface="+mn-cs"/>
            </a:defRPr>
          </a:lvl2pPr>
          <a:lvl3pPr marL="987552" algn="l" defTabSz="987552" rtl="0" eaLnBrk="1" latinLnBrk="0" hangingPunct="1">
            <a:defRPr sz="1944" kern="1200">
              <a:solidFill>
                <a:schemeClr val="tx1"/>
              </a:solidFill>
              <a:latin typeface="+mn-lt"/>
              <a:ea typeface="+mn-ea"/>
              <a:cs typeface="+mn-cs"/>
            </a:defRPr>
          </a:lvl3pPr>
          <a:lvl4pPr marL="1481328" algn="l" defTabSz="987552" rtl="0" eaLnBrk="1" latinLnBrk="0" hangingPunct="1">
            <a:defRPr sz="1944" kern="1200">
              <a:solidFill>
                <a:schemeClr val="tx1"/>
              </a:solidFill>
              <a:latin typeface="+mn-lt"/>
              <a:ea typeface="+mn-ea"/>
              <a:cs typeface="+mn-cs"/>
            </a:defRPr>
          </a:lvl4pPr>
          <a:lvl5pPr marL="1975104" algn="l" defTabSz="987552" rtl="0" eaLnBrk="1" latinLnBrk="0" hangingPunct="1">
            <a:defRPr sz="1944" kern="1200">
              <a:solidFill>
                <a:schemeClr val="tx1"/>
              </a:solidFill>
              <a:latin typeface="+mn-lt"/>
              <a:ea typeface="+mn-ea"/>
              <a:cs typeface="+mn-cs"/>
            </a:defRPr>
          </a:lvl5pPr>
          <a:lvl6pPr marL="2468880" algn="l" defTabSz="987552" rtl="0" eaLnBrk="1" latinLnBrk="0" hangingPunct="1">
            <a:defRPr sz="1944" kern="1200">
              <a:solidFill>
                <a:schemeClr val="tx1"/>
              </a:solidFill>
              <a:latin typeface="+mn-lt"/>
              <a:ea typeface="+mn-ea"/>
              <a:cs typeface="+mn-cs"/>
            </a:defRPr>
          </a:lvl6pPr>
          <a:lvl7pPr marL="2962656" algn="l" defTabSz="987552" rtl="0" eaLnBrk="1" latinLnBrk="0" hangingPunct="1">
            <a:defRPr sz="1944" kern="1200">
              <a:solidFill>
                <a:schemeClr val="tx1"/>
              </a:solidFill>
              <a:latin typeface="+mn-lt"/>
              <a:ea typeface="+mn-ea"/>
              <a:cs typeface="+mn-cs"/>
            </a:defRPr>
          </a:lvl7pPr>
          <a:lvl8pPr marL="3456432" algn="l" defTabSz="987552" rtl="0" eaLnBrk="1" latinLnBrk="0" hangingPunct="1">
            <a:defRPr sz="1944" kern="1200">
              <a:solidFill>
                <a:schemeClr val="tx1"/>
              </a:solidFill>
              <a:latin typeface="+mn-lt"/>
              <a:ea typeface="+mn-ea"/>
              <a:cs typeface="+mn-cs"/>
            </a:defRPr>
          </a:lvl8pPr>
          <a:lvl9pPr marL="3950208" algn="l" defTabSz="987552" rtl="0" eaLnBrk="1" latinLnBrk="0" hangingPunct="1">
            <a:defRPr sz="1944" kern="1200">
              <a:solidFill>
                <a:schemeClr val="tx1"/>
              </a:solidFill>
              <a:latin typeface="+mn-lt"/>
              <a:ea typeface="+mn-ea"/>
              <a:cs typeface="+mn-cs"/>
            </a:defRPr>
          </a:lvl9pPr>
        </a:lstStyle>
        <a:p>
          <a:pPr algn="ctr" defTabSz="847210"/>
          <a:r>
            <a:rPr lang="en-US" sz="1050">
              <a:solidFill>
                <a:schemeClr val="tx1">
                  <a:lumMod val="60000"/>
                  <a:lumOff val="40000"/>
                </a:schemeClr>
              </a:solidFill>
              <a:latin typeface="Times New Roman" panose="02020603050405020304" pitchFamily="18" charset="0"/>
              <a:cs typeface="Times New Roman" panose="02020603050405020304" pitchFamily="18" charset="0"/>
            </a:rPr>
            <a:t>©1996-2019 </a:t>
          </a:r>
        </a:p>
        <a:p>
          <a:pPr algn="ctr" defTabSz="847210"/>
          <a:r>
            <a:rPr lang="en-US" sz="1050">
              <a:solidFill>
                <a:schemeClr val="tx1">
                  <a:lumMod val="60000"/>
                  <a:lumOff val="40000"/>
                </a:schemeClr>
              </a:solidFill>
              <a:latin typeface="Times New Roman" panose="02020603050405020304" pitchFamily="18" charset="0"/>
              <a:cs typeface="Times New Roman" panose="02020603050405020304" pitchFamily="18" charset="0"/>
            </a:rPr>
            <a:t>www.healthteamworks.org</a:t>
          </a:r>
        </a:p>
      </xdr:txBody>
    </xdr:sp>
    <xdr:clientData/>
  </xdr:twoCellAnchor>
  <xdr:twoCellAnchor editAs="oneCell">
    <xdr:from>
      <xdr:col>1</xdr:col>
      <xdr:colOff>63500</xdr:colOff>
      <xdr:row>0</xdr:row>
      <xdr:rowOff>76201</xdr:rowOff>
    </xdr:from>
    <xdr:to>
      <xdr:col>1</xdr:col>
      <xdr:colOff>2209800</xdr:colOff>
      <xdr:row>0</xdr:row>
      <xdr:rowOff>533401</xdr:rowOff>
    </xdr:to>
    <xdr:pic>
      <xdr:nvPicPr>
        <xdr:cNvPr id="3" name="Picture 2">
          <a:extLst>
            <a:ext uri="{FF2B5EF4-FFF2-40B4-BE49-F238E27FC236}">
              <a16:creationId xmlns:a16="http://schemas.microsoft.com/office/drawing/2014/main" id="{02B05A7D-AB0B-FA4F-B3D6-70DC9E8BCD49}"/>
            </a:ext>
          </a:extLst>
        </xdr:cNvPr>
        <xdr:cNvPicPr>
          <a:picLocks noChangeAspect="1"/>
        </xdr:cNvPicPr>
      </xdr:nvPicPr>
      <xdr:blipFill>
        <a:blip xmlns:r="http://schemas.openxmlformats.org/officeDocument/2006/relationships" r:embed="rId1"/>
        <a:stretch>
          <a:fillRect/>
        </a:stretch>
      </xdr:blipFill>
      <xdr:spPr>
        <a:xfrm>
          <a:off x="419100" y="76201"/>
          <a:ext cx="2146300" cy="457200"/>
        </a:xfrm>
        <a:prstGeom prst="rect">
          <a:avLst/>
        </a:prstGeom>
      </xdr:spPr>
    </xdr:pic>
    <xdr:clientData/>
  </xdr:twoCellAnchor>
  <xdr:twoCellAnchor>
    <xdr:from>
      <xdr:col>2</xdr:col>
      <xdr:colOff>92359</xdr:colOff>
      <xdr:row>0</xdr:row>
      <xdr:rowOff>11546</xdr:rowOff>
    </xdr:from>
    <xdr:to>
      <xdr:col>5</xdr:col>
      <xdr:colOff>0</xdr:colOff>
      <xdr:row>0</xdr:row>
      <xdr:rowOff>565728</xdr:rowOff>
    </xdr:to>
    <xdr:sp macro="" textlink="">
      <xdr:nvSpPr>
        <xdr:cNvPr id="4" name="Text Box 12">
          <a:extLst>
            <a:ext uri="{FF2B5EF4-FFF2-40B4-BE49-F238E27FC236}">
              <a16:creationId xmlns:a16="http://schemas.microsoft.com/office/drawing/2014/main" id="{1EE7757D-C8AF-904C-998F-62824084FFE3}"/>
            </a:ext>
          </a:extLst>
        </xdr:cNvPr>
        <xdr:cNvSpPr txBox="1">
          <a:spLocks noChangeArrowheads="1"/>
        </xdr:cNvSpPr>
      </xdr:nvSpPr>
      <xdr:spPr bwMode="auto">
        <a:xfrm>
          <a:off x="3254659" y="11546"/>
          <a:ext cx="6524341" cy="554182"/>
        </a:xfrm>
        <a:prstGeom prst="rect">
          <a:avLst/>
        </a:prstGeom>
        <a:solidFill>
          <a:schemeClr val="bg1">
            <a:lumMod val="85000"/>
          </a:schemeClr>
        </a:solidFill>
        <a:ln w="9525">
          <a:noFill/>
          <a:miter lim="800000"/>
          <a:headEnd/>
          <a:tailEnd/>
        </a:ln>
      </xdr:spPr>
      <xdr:txBody>
        <a:bodyPr vertOverflow="clip" wrap="square" lIns="27432" tIns="22860" rIns="0" bIns="0" anchor="ctr" upright="1"/>
        <a:lstStyle/>
        <a:p>
          <a:pPr algn="ctr" rtl="0">
            <a:defRPr sz="1000"/>
          </a:pPr>
          <a:r>
            <a:rPr lang="en-US" sz="1200" b="0" i="0" u="none" strike="noStrike" baseline="0">
              <a:solidFill>
                <a:srgbClr val="000000"/>
              </a:solidFill>
              <a:latin typeface="Calibri" pitchFamily="2" charset="0"/>
              <a:cs typeface="Calibri" pitchFamily="2" charset="0"/>
            </a:rPr>
            <a:t>By using this resource, the recipient is agreeing to the HealthTeamWorks Terms of Use as defined here:  https://www.healthteamworks.org/content/terms-and-conditions-tools-and-materials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51611</xdr:colOff>
      <xdr:row>2</xdr:row>
      <xdr:rowOff>51611</xdr:rowOff>
    </xdr:from>
    <xdr:to>
      <xdr:col>1</xdr:col>
      <xdr:colOff>1858818</xdr:colOff>
      <xdr:row>2</xdr:row>
      <xdr:rowOff>414508</xdr:rowOff>
    </xdr:to>
    <xdr:pic>
      <xdr:nvPicPr>
        <xdr:cNvPr id="2" name="Picture 1">
          <a:extLst>
            <a:ext uri="{FF2B5EF4-FFF2-40B4-BE49-F238E27FC236}">
              <a16:creationId xmlns:a16="http://schemas.microsoft.com/office/drawing/2014/main" id="{C65EDA6D-801A-B749-90D7-6D8F0B46D30A}"/>
            </a:ext>
          </a:extLst>
        </xdr:cNvPr>
        <xdr:cNvPicPr>
          <a:picLocks noChangeAspect="1"/>
        </xdr:cNvPicPr>
      </xdr:nvPicPr>
      <xdr:blipFill>
        <a:blip xmlns:r="http://schemas.openxmlformats.org/officeDocument/2006/relationships" r:embed="rId1"/>
        <a:stretch>
          <a:fillRect/>
        </a:stretch>
      </xdr:blipFill>
      <xdr:spPr>
        <a:xfrm>
          <a:off x="305611" y="836702"/>
          <a:ext cx="1807207" cy="362897"/>
        </a:xfrm>
        <a:prstGeom prst="rect">
          <a:avLst/>
        </a:prstGeom>
      </xdr:spPr>
    </xdr:pic>
    <xdr:clientData/>
  </xdr:twoCellAnchor>
  <xdr:twoCellAnchor>
    <xdr:from>
      <xdr:col>4</xdr:col>
      <xdr:colOff>729025</xdr:colOff>
      <xdr:row>46</xdr:row>
      <xdr:rowOff>98399</xdr:rowOff>
    </xdr:from>
    <xdr:to>
      <xdr:col>5</xdr:col>
      <xdr:colOff>669758</xdr:colOff>
      <xdr:row>48</xdr:row>
      <xdr:rowOff>214695</xdr:rowOff>
    </xdr:to>
    <xdr:sp macro="" textlink="">
      <xdr:nvSpPr>
        <xdr:cNvPr id="3" name="Footer Placeholder 4">
          <a:extLst>
            <a:ext uri="{FF2B5EF4-FFF2-40B4-BE49-F238E27FC236}">
              <a16:creationId xmlns:a16="http://schemas.microsoft.com/office/drawing/2014/main" id="{39980B6E-669E-964B-9765-E8D6F96090AA}"/>
            </a:ext>
          </a:extLst>
        </xdr:cNvPr>
        <xdr:cNvSpPr txBox="1">
          <a:spLocks/>
        </xdr:cNvSpPr>
      </xdr:nvSpPr>
      <xdr:spPr>
        <a:xfrm>
          <a:off x="7447325" y="9077299"/>
          <a:ext cx="2849033" cy="560796"/>
        </a:xfrm>
        <a:prstGeom prst="rect">
          <a:avLst/>
        </a:prstGeom>
      </xdr:spPr>
      <xdr:txBody>
        <a:bodyPr vert="horz" wrap="square" lIns="84716" tIns="42358" rIns="84716" bIns="42358" rtlCol="0" anchor="ctr">
          <a:noAutofit/>
        </a:bodyPr>
        <a:lstStyle>
          <a:defPPr>
            <a:defRPr lang="en-US"/>
          </a:defPPr>
          <a:lvl1pPr marL="0" algn="l" defTabSz="987552" rtl="0" eaLnBrk="1" latinLnBrk="0" hangingPunct="1">
            <a:defRPr sz="1944" kern="1200">
              <a:solidFill>
                <a:schemeClr val="tx1"/>
              </a:solidFill>
              <a:latin typeface="+mn-lt"/>
              <a:ea typeface="+mn-ea"/>
              <a:cs typeface="+mn-cs"/>
            </a:defRPr>
          </a:lvl1pPr>
          <a:lvl2pPr marL="493776" algn="l" defTabSz="987552" rtl="0" eaLnBrk="1" latinLnBrk="0" hangingPunct="1">
            <a:defRPr sz="1944" kern="1200">
              <a:solidFill>
                <a:schemeClr val="tx1"/>
              </a:solidFill>
              <a:latin typeface="+mn-lt"/>
              <a:ea typeface="+mn-ea"/>
              <a:cs typeface="+mn-cs"/>
            </a:defRPr>
          </a:lvl2pPr>
          <a:lvl3pPr marL="987552" algn="l" defTabSz="987552" rtl="0" eaLnBrk="1" latinLnBrk="0" hangingPunct="1">
            <a:defRPr sz="1944" kern="1200">
              <a:solidFill>
                <a:schemeClr val="tx1"/>
              </a:solidFill>
              <a:latin typeface="+mn-lt"/>
              <a:ea typeface="+mn-ea"/>
              <a:cs typeface="+mn-cs"/>
            </a:defRPr>
          </a:lvl3pPr>
          <a:lvl4pPr marL="1481328" algn="l" defTabSz="987552" rtl="0" eaLnBrk="1" latinLnBrk="0" hangingPunct="1">
            <a:defRPr sz="1944" kern="1200">
              <a:solidFill>
                <a:schemeClr val="tx1"/>
              </a:solidFill>
              <a:latin typeface="+mn-lt"/>
              <a:ea typeface="+mn-ea"/>
              <a:cs typeface="+mn-cs"/>
            </a:defRPr>
          </a:lvl4pPr>
          <a:lvl5pPr marL="1975104" algn="l" defTabSz="987552" rtl="0" eaLnBrk="1" latinLnBrk="0" hangingPunct="1">
            <a:defRPr sz="1944" kern="1200">
              <a:solidFill>
                <a:schemeClr val="tx1"/>
              </a:solidFill>
              <a:latin typeface="+mn-lt"/>
              <a:ea typeface="+mn-ea"/>
              <a:cs typeface="+mn-cs"/>
            </a:defRPr>
          </a:lvl5pPr>
          <a:lvl6pPr marL="2468880" algn="l" defTabSz="987552" rtl="0" eaLnBrk="1" latinLnBrk="0" hangingPunct="1">
            <a:defRPr sz="1944" kern="1200">
              <a:solidFill>
                <a:schemeClr val="tx1"/>
              </a:solidFill>
              <a:latin typeface="+mn-lt"/>
              <a:ea typeface="+mn-ea"/>
              <a:cs typeface="+mn-cs"/>
            </a:defRPr>
          </a:lvl6pPr>
          <a:lvl7pPr marL="2962656" algn="l" defTabSz="987552" rtl="0" eaLnBrk="1" latinLnBrk="0" hangingPunct="1">
            <a:defRPr sz="1944" kern="1200">
              <a:solidFill>
                <a:schemeClr val="tx1"/>
              </a:solidFill>
              <a:latin typeface="+mn-lt"/>
              <a:ea typeface="+mn-ea"/>
              <a:cs typeface="+mn-cs"/>
            </a:defRPr>
          </a:lvl7pPr>
          <a:lvl8pPr marL="3456432" algn="l" defTabSz="987552" rtl="0" eaLnBrk="1" latinLnBrk="0" hangingPunct="1">
            <a:defRPr sz="1944" kern="1200">
              <a:solidFill>
                <a:schemeClr val="tx1"/>
              </a:solidFill>
              <a:latin typeface="+mn-lt"/>
              <a:ea typeface="+mn-ea"/>
              <a:cs typeface="+mn-cs"/>
            </a:defRPr>
          </a:lvl8pPr>
          <a:lvl9pPr marL="3950208" algn="l" defTabSz="987552" rtl="0" eaLnBrk="1" latinLnBrk="0" hangingPunct="1">
            <a:defRPr sz="1944" kern="1200">
              <a:solidFill>
                <a:schemeClr val="tx1"/>
              </a:solidFill>
              <a:latin typeface="+mn-lt"/>
              <a:ea typeface="+mn-ea"/>
              <a:cs typeface="+mn-cs"/>
            </a:defRPr>
          </a:lvl9pPr>
        </a:lstStyle>
        <a:p>
          <a:pPr algn="ctr" defTabSz="847210"/>
          <a:r>
            <a:rPr lang="en-US" sz="1050">
              <a:solidFill>
                <a:schemeClr val="tx1">
                  <a:lumMod val="60000"/>
                  <a:lumOff val="40000"/>
                </a:schemeClr>
              </a:solidFill>
              <a:latin typeface="Times New Roman" panose="02020603050405020304" pitchFamily="18" charset="0"/>
              <a:cs typeface="Times New Roman" panose="02020603050405020304" pitchFamily="18" charset="0"/>
            </a:rPr>
            <a:t>©1996-2019 </a:t>
          </a:r>
        </a:p>
        <a:p>
          <a:pPr algn="ctr" defTabSz="847210"/>
          <a:r>
            <a:rPr lang="en-US" sz="1050">
              <a:solidFill>
                <a:schemeClr val="tx1">
                  <a:lumMod val="60000"/>
                  <a:lumOff val="40000"/>
                </a:schemeClr>
              </a:solidFill>
              <a:latin typeface="Times New Roman" panose="02020603050405020304" pitchFamily="18" charset="0"/>
              <a:cs typeface="Times New Roman" panose="02020603050405020304" pitchFamily="18" charset="0"/>
            </a:rPr>
            <a:t>www.healthteamworks.org</a:t>
          </a:r>
        </a:p>
      </xdr:txBody>
    </xdr:sp>
    <xdr:clientData/>
  </xdr:twoCellAnchor>
  <xdr:twoCellAnchor>
    <xdr:from>
      <xdr:col>1</xdr:col>
      <xdr:colOff>1212272</xdr:colOff>
      <xdr:row>1</xdr:row>
      <xdr:rowOff>23090</xdr:rowOff>
    </xdr:from>
    <xdr:to>
      <xdr:col>4</xdr:col>
      <xdr:colOff>2828639</xdr:colOff>
      <xdr:row>1</xdr:row>
      <xdr:rowOff>415635</xdr:rowOff>
    </xdr:to>
    <xdr:sp macro="" textlink="">
      <xdr:nvSpPr>
        <xdr:cNvPr id="4" name="Text Box 148">
          <a:extLst>
            <a:ext uri="{FF2B5EF4-FFF2-40B4-BE49-F238E27FC236}">
              <a16:creationId xmlns:a16="http://schemas.microsoft.com/office/drawing/2014/main" id="{1C416F16-1EA4-A443-8E4E-B4EE1AB8B2A3}"/>
            </a:ext>
          </a:extLst>
        </xdr:cNvPr>
        <xdr:cNvSpPr txBox="1">
          <a:spLocks noChangeArrowheads="1"/>
        </xdr:cNvSpPr>
      </xdr:nvSpPr>
      <xdr:spPr bwMode="auto">
        <a:xfrm>
          <a:off x="1466272" y="378690"/>
          <a:ext cx="8080667" cy="392545"/>
        </a:xfrm>
        <a:prstGeom prst="rect">
          <a:avLst/>
        </a:prstGeom>
        <a:solidFill>
          <a:schemeClr val="bg1">
            <a:lumMod val="85000"/>
          </a:schemeClr>
        </a:solidFill>
        <a:ln w="9525">
          <a:no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Calibri" pitchFamily="2" charset="0"/>
              <a:cs typeface="Calibri" pitchFamily="2" charset="0"/>
            </a:rPr>
            <a:t>By using this resource, the recipient is agreeing to the HealthTeamWorks Terms of Use as defined here:  https://www.healthteamworks.org/content/terms-and-conditions-tools-and-materials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730250</xdr:colOff>
      <xdr:row>70</xdr:row>
      <xdr:rowOff>0</xdr:rowOff>
    </xdr:from>
    <xdr:to>
      <xdr:col>4</xdr:col>
      <xdr:colOff>849937</xdr:colOff>
      <xdr:row>72</xdr:row>
      <xdr:rowOff>21166</xdr:rowOff>
    </xdr:to>
    <xdr:sp macro="" textlink="">
      <xdr:nvSpPr>
        <xdr:cNvPr id="3" name="Footer Placeholder 4">
          <a:extLst>
            <a:ext uri="{FF2B5EF4-FFF2-40B4-BE49-F238E27FC236}">
              <a16:creationId xmlns:a16="http://schemas.microsoft.com/office/drawing/2014/main" id="{A7461699-C5C0-DF43-A522-652C253C5569}"/>
            </a:ext>
          </a:extLst>
        </xdr:cNvPr>
        <xdr:cNvSpPr txBox="1">
          <a:spLocks/>
        </xdr:cNvSpPr>
      </xdr:nvSpPr>
      <xdr:spPr>
        <a:xfrm>
          <a:off x="5651500" y="25082500"/>
          <a:ext cx="2850187" cy="423333"/>
        </a:xfrm>
        <a:prstGeom prst="rect">
          <a:avLst/>
        </a:prstGeom>
      </xdr:spPr>
      <xdr:txBody>
        <a:bodyPr vert="horz" wrap="square" lIns="84716" tIns="42358" rIns="84716" bIns="42358" rtlCol="0" anchor="ctr">
          <a:noAutofit/>
        </a:bodyPr>
        <a:lstStyle>
          <a:defPPr>
            <a:defRPr lang="en-US"/>
          </a:defPPr>
          <a:lvl1pPr marL="0" algn="l" defTabSz="987552" rtl="0" eaLnBrk="1" latinLnBrk="0" hangingPunct="1">
            <a:defRPr sz="1944" kern="1200">
              <a:solidFill>
                <a:schemeClr val="tx1"/>
              </a:solidFill>
              <a:latin typeface="+mn-lt"/>
              <a:ea typeface="+mn-ea"/>
              <a:cs typeface="+mn-cs"/>
            </a:defRPr>
          </a:lvl1pPr>
          <a:lvl2pPr marL="493776" algn="l" defTabSz="987552" rtl="0" eaLnBrk="1" latinLnBrk="0" hangingPunct="1">
            <a:defRPr sz="1944" kern="1200">
              <a:solidFill>
                <a:schemeClr val="tx1"/>
              </a:solidFill>
              <a:latin typeface="+mn-lt"/>
              <a:ea typeface="+mn-ea"/>
              <a:cs typeface="+mn-cs"/>
            </a:defRPr>
          </a:lvl2pPr>
          <a:lvl3pPr marL="987552" algn="l" defTabSz="987552" rtl="0" eaLnBrk="1" latinLnBrk="0" hangingPunct="1">
            <a:defRPr sz="1944" kern="1200">
              <a:solidFill>
                <a:schemeClr val="tx1"/>
              </a:solidFill>
              <a:latin typeface="+mn-lt"/>
              <a:ea typeface="+mn-ea"/>
              <a:cs typeface="+mn-cs"/>
            </a:defRPr>
          </a:lvl3pPr>
          <a:lvl4pPr marL="1481328" algn="l" defTabSz="987552" rtl="0" eaLnBrk="1" latinLnBrk="0" hangingPunct="1">
            <a:defRPr sz="1944" kern="1200">
              <a:solidFill>
                <a:schemeClr val="tx1"/>
              </a:solidFill>
              <a:latin typeface="+mn-lt"/>
              <a:ea typeface="+mn-ea"/>
              <a:cs typeface="+mn-cs"/>
            </a:defRPr>
          </a:lvl4pPr>
          <a:lvl5pPr marL="1975104" algn="l" defTabSz="987552" rtl="0" eaLnBrk="1" latinLnBrk="0" hangingPunct="1">
            <a:defRPr sz="1944" kern="1200">
              <a:solidFill>
                <a:schemeClr val="tx1"/>
              </a:solidFill>
              <a:latin typeface="+mn-lt"/>
              <a:ea typeface="+mn-ea"/>
              <a:cs typeface="+mn-cs"/>
            </a:defRPr>
          </a:lvl5pPr>
          <a:lvl6pPr marL="2468880" algn="l" defTabSz="987552" rtl="0" eaLnBrk="1" latinLnBrk="0" hangingPunct="1">
            <a:defRPr sz="1944" kern="1200">
              <a:solidFill>
                <a:schemeClr val="tx1"/>
              </a:solidFill>
              <a:latin typeface="+mn-lt"/>
              <a:ea typeface="+mn-ea"/>
              <a:cs typeface="+mn-cs"/>
            </a:defRPr>
          </a:lvl6pPr>
          <a:lvl7pPr marL="2962656" algn="l" defTabSz="987552" rtl="0" eaLnBrk="1" latinLnBrk="0" hangingPunct="1">
            <a:defRPr sz="1944" kern="1200">
              <a:solidFill>
                <a:schemeClr val="tx1"/>
              </a:solidFill>
              <a:latin typeface="+mn-lt"/>
              <a:ea typeface="+mn-ea"/>
              <a:cs typeface="+mn-cs"/>
            </a:defRPr>
          </a:lvl7pPr>
          <a:lvl8pPr marL="3456432" algn="l" defTabSz="987552" rtl="0" eaLnBrk="1" latinLnBrk="0" hangingPunct="1">
            <a:defRPr sz="1944" kern="1200">
              <a:solidFill>
                <a:schemeClr val="tx1"/>
              </a:solidFill>
              <a:latin typeface="+mn-lt"/>
              <a:ea typeface="+mn-ea"/>
              <a:cs typeface="+mn-cs"/>
            </a:defRPr>
          </a:lvl8pPr>
          <a:lvl9pPr marL="3950208" algn="l" defTabSz="987552" rtl="0" eaLnBrk="1" latinLnBrk="0" hangingPunct="1">
            <a:defRPr sz="1944" kern="1200">
              <a:solidFill>
                <a:schemeClr val="tx1"/>
              </a:solidFill>
              <a:latin typeface="+mn-lt"/>
              <a:ea typeface="+mn-ea"/>
              <a:cs typeface="+mn-cs"/>
            </a:defRPr>
          </a:lvl9pPr>
        </a:lstStyle>
        <a:p>
          <a:pPr algn="ctr" defTabSz="847210"/>
          <a:r>
            <a:rPr lang="en-US" sz="1050">
              <a:solidFill>
                <a:schemeClr val="tx1">
                  <a:lumMod val="60000"/>
                  <a:lumOff val="40000"/>
                </a:schemeClr>
              </a:solidFill>
              <a:latin typeface="Times New Roman" panose="02020603050405020304" pitchFamily="18" charset="0"/>
              <a:cs typeface="Times New Roman" panose="02020603050405020304" pitchFamily="18" charset="0"/>
            </a:rPr>
            <a:t>©1996-2019 </a:t>
          </a:r>
        </a:p>
        <a:p>
          <a:pPr algn="ctr" defTabSz="847210"/>
          <a:r>
            <a:rPr lang="en-US" sz="1050">
              <a:solidFill>
                <a:schemeClr val="tx1">
                  <a:lumMod val="60000"/>
                  <a:lumOff val="40000"/>
                </a:schemeClr>
              </a:solidFill>
              <a:latin typeface="Times New Roman" panose="02020603050405020304" pitchFamily="18" charset="0"/>
              <a:cs typeface="Times New Roman" panose="02020603050405020304" pitchFamily="18" charset="0"/>
            </a:rPr>
            <a:t>www.healthteamworks.org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F120-255B-DB4B-A1A7-625A4057A122}">
  <sheetPr>
    <tabColor rgb="FF00B050"/>
    <pageSetUpPr fitToPage="1"/>
  </sheetPr>
  <dimension ref="A1:AD79"/>
  <sheetViews>
    <sheetView tabSelected="1" zoomScale="120" zoomScaleNormal="120" workbookViewId="0">
      <selection activeCell="B6" sqref="B6"/>
    </sheetView>
  </sheetViews>
  <sheetFormatPr baseColWidth="10" defaultColWidth="10.83203125" defaultRowHeight="16"/>
  <cols>
    <col min="1" max="1" width="4.6640625" style="6" customWidth="1"/>
    <col min="2" max="2" width="38.33203125" style="6" customWidth="1"/>
    <col min="3" max="3" width="60.83203125" style="6" customWidth="1"/>
    <col min="4" max="4" width="17.5" style="6" customWidth="1"/>
    <col min="5" max="5" width="16.33203125" style="6" customWidth="1"/>
    <col min="6" max="6" width="12" style="6" customWidth="1"/>
    <col min="7" max="7" width="3.33203125" style="285" customWidth="1"/>
    <col min="8" max="16384" width="10.83203125" style="6"/>
  </cols>
  <sheetData>
    <row r="1" spans="1:30" s="34" customFormat="1" ht="45" customHeight="1">
      <c r="A1" s="86"/>
      <c r="B1" s="87"/>
      <c r="C1" s="134"/>
      <c r="D1" s="134"/>
      <c r="E1" s="134"/>
      <c r="F1" s="88"/>
      <c r="G1" s="282"/>
    </row>
    <row r="2" spans="1:30" s="4" customFormat="1" ht="23.25" customHeight="1">
      <c r="A2" s="22"/>
      <c r="B2" s="436" t="s">
        <v>45</v>
      </c>
      <c r="C2" s="437"/>
      <c r="D2" s="437"/>
      <c r="E2" s="437"/>
      <c r="F2" s="438"/>
      <c r="G2" s="283"/>
    </row>
    <row r="3" spans="1:30" s="4" customFormat="1" ht="17" customHeight="1">
      <c r="A3" s="22"/>
      <c r="B3" s="439" t="s">
        <v>419</v>
      </c>
      <c r="C3" s="440"/>
      <c r="D3" s="440"/>
      <c r="E3" s="440"/>
      <c r="F3" s="441"/>
      <c r="G3" s="283"/>
    </row>
    <row r="4" spans="1:30" s="4" customFormat="1" ht="19" customHeight="1">
      <c r="A4" s="22"/>
      <c r="B4" s="25" t="s">
        <v>50</v>
      </c>
      <c r="C4" s="89" t="s">
        <v>51</v>
      </c>
      <c r="D4" s="442" t="s">
        <v>131</v>
      </c>
      <c r="E4" s="443"/>
      <c r="F4" s="444"/>
      <c r="G4" s="283"/>
    </row>
    <row r="5" spans="1:30" s="11" customFormat="1" ht="37" customHeight="1">
      <c r="A5" s="23"/>
      <c r="B5" s="18" t="s">
        <v>33</v>
      </c>
      <c r="C5" s="12" t="s">
        <v>415</v>
      </c>
      <c r="D5" s="7" t="s">
        <v>11</v>
      </c>
      <c r="E5" s="7" t="s">
        <v>12</v>
      </c>
      <c r="F5" s="91" t="s">
        <v>345</v>
      </c>
      <c r="G5" s="284"/>
      <c r="H5" s="21"/>
      <c r="I5" s="21"/>
      <c r="J5" s="21"/>
      <c r="K5" s="21"/>
      <c r="L5" s="10"/>
      <c r="M5" s="10"/>
      <c r="N5" s="10"/>
      <c r="O5" s="10"/>
      <c r="P5" s="10"/>
      <c r="Q5" s="10"/>
      <c r="R5" s="10"/>
      <c r="S5" s="10"/>
      <c r="T5" s="10"/>
      <c r="U5" s="10"/>
      <c r="V5" s="10"/>
      <c r="W5" s="10"/>
      <c r="X5" s="10"/>
      <c r="Y5" s="10"/>
      <c r="Z5" s="10"/>
      <c r="AA5" s="10"/>
      <c r="AB5" s="10"/>
      <c r="AC5" s="10"/>
      <c r="AD5" s="10"/>
    </row>
    <row r="6" spans="1:30">
      <c r="A6" s="93"/>
      <c r="B6" s="349" t="s">
        <v>134</v>
      </c>
      <c r="C6" s="155" t="s">
        <v>47</v>
      </c>
      <c r="D6" s="135">
        <v>3</v>
      </c>
      <c r="E6" s="135">
        <v>3</v>
      </c>
      <c r="F6" s="136"/>
    </row>
    <row r="7" spans="1:30" ht="17">
      <c r="A7" s="93"/>
      <c r="B7" s="94" t="s">
        <v>348</v>
      </c>
      <c r="C7" s="93" t="s">
        <v>279</v>
      </c>
      <c r="D7" s="135">
        <v>5000</v>
      </c>
      <c r="E7" s="135">
        <v>5000</v>
      </c>
      <c r="F7" s="136"/>
    </row>
    <row r="8" spans="1:30">
      <c r="A8" s="93"/>
      <c r="B8" s="263"/>
      <c r="C8" s="93" t="s">
        <v>322</v>
      </c>
      <c r="D8" s="368">
        <v>0.15</v>
      </c>
      <c r="E8" s="368">
        <v>0.15</v>
      </c>
      <c r="F8" s="136"/>
      <c r="H8" s="370"/>
      <c r="I8" s="370"/>
    </row>
    <row r="9" spans="1:30">
      <c r="A9" s="93"/>
      <c r="B9" s="14"/>
      <c r="C9" s="298" t="s">
        <v>368</v>
      </c>
      <c r="D9" s="74">
        <f>D8*D7</f>
        <v>750</v>
      </c>
      <c r="E9" s="74">
        <f>E8*E7</f>
        <v>750</v>
      </c>
      <c r="F9" s="136"/>
      <c r="H9" s="370"/>
      <c r="I9" s="370"/>
    </row>
    <row r="10" spans="1:30" ht="15" customHeight="1">
      <c r="A10" s="93"/>
      <c r="B10" s="14"/>
      <c r="C10" s="123" t="s">
        <v>320</v>
      </c>
      <c r="D10" s="368">
        <v>0.95</v>
      </c>
      <c r="E10" s="466">
        <v>0.95</v>
      </c>
      <c r="F10" s="136"/>
      <c r="H10" s="370"/>
      <c r="I10" s="370"/>
    </row>
    <row r="11" spans="1:30" ht="15" customHeight="1">
      <c r="A11" s="93"/>
      <c r="B11" s="94"/>
      <c r="C11" s="290" t="s">
        <v>342</v>
      </c>
      <c r="D11" s="369">
        <f>D9*D10</f>
        <v>712.5</v>
      </c>
      <c r="E11" s="369">
        <f>E9*E10</f>
        <v>712.5</v>
      </c>
      <c r="F11" s="136"/>
      <c r="H11" s="370"/>
      <c r="I11" s="370"/>
    </row>
    <row r="12" spans="1:30" ht="15" customHeight="1">
      <c r="A12" s="93"/>
      <c r="B12" s="94"/>
      <c r="C12" s="124" t="s">
        <v>319</v>
      </c>
      <c r="D12" s="371">
        <v>0.15</v>
      </c>
      <c r="E12" s="109">
        <v>0.15</v>
      </c>
      <c r="F12" s="136"/>
      <c r="H12" s="370"/>
      <c r="I12" s="370"/>
    </row>
    <row r="13" spans="1:30" ht="15" customHeight="1">
      <c r="A13" s="93"/>
      <c r="B13" s="328"/>
      <c r="C13" s="329" t="s">
        <v>363</v>
      </c>
      <c r="D13" s="109">
        <v>0.05</v>
      </c>
      <c r="E13" s="109">
        <v>0.05</v>
      </c>
      <c r="F13" s="136"/>
      <c r="H13" s="370"/>
      <c r="I13" s="370"/>
    </row>
    <row r="14" spans="1:30">
      <c r="A14" s="93"/>
      <c r="B14" s="13" t="s">
        <v>349</v>
      </c>
      <c r="C14" s="93" t="s">
        <v>46</v>
      </c>
      <c r="D14" s="138">
        <f>'Algorithm Ref Tables'!C11</f>
        <v>4.28</v>
      </c>
      <c r="E14" s="139">
        <v>4.28</v>
      </c>
      <c r="F14" s="136"/>
      <c r="H14" s="370"/>
      <c r="I14" s="370"/>
    </row>
    <row r="15" spans="1:30" ht="15" customHeight="1">
      <c r="A15" s="93"/>
      <c r="B15" s="94"/>
      <c r="C15" s="124" t="s">
        <v>318</v>
      </c>
      <c r="D15" s="108">
        <v>0</v>
      </c>
      <c r="E15" s="108">
        <v>0</v>
      </c>
      <c r="F15" s="136"/>
      <c r="H15" s="370"/>
      <c r="I15" s="370"/>
    </row>
    <row r="16" spans="1:30">
      <c r="A16" s="93"/>
      <c r="B16" s="294" t="s">
        <v>351</v>
      </c>
      <c r="C16" s="155" t="s">
        <v>215</v>
      </c>
      <c r="D16" s="140">
        <f>'Algorithm Ref Tables'!C16</f>
        <v>93</v>
      </c>
      <c r="E16" s="19">
        <v>93</v>
      </c>
      <c r="F16" s="136"/>
      <c r="H16" s="370"/>
      <c r="I16" s="370"/>
    </row>
    <row r="17" spans="1:9">
      <c r="A17" s="93"/>
      <c r="B17" s="93"/>
      <c r="C17" s="93" t="s">
        <v>273</v>
      </c>
      <c r="D17" s="313">
        <v>0.1</v>
      </c>
      <c r="E17" s="313">
        <v>0.1</v>
      </c>
      <c r="F17" s="136"/>
      <c r="H17" s="370"/>
      <c r="I17" s="370"/>
    </row>
    <row r="18" spans="1:9">
      <c r="A18" s="93"/>
      <c r="B18" s="319" t="s">
        <v>135</v>
      </c>
      <c r="C18" s="114" t="s">
        <v>232</v>
      </c>
      <c r="D18" s="33">
        <v>1</v>
      </c>
      <c r="E18" s="33">
        <v>1</v>
      </c>
      <c r="F18" s="136"/>
      <c r="H18" s="370"/>
      <c r="I18" s="370"/>
    </row>
    <row r="19" spans="1:9">
      <c r="A19" s="93"/>
      <c r="B19" s="14"/>
      <c r="C19" s="299" t="s">
        <v>214</v>
      </c>
      <c r="D19" s="142">
        <f>'Algorithm Ref Tables'!C23</f>
        <v>59.42</v>
      </c>
      <c r="E19" s="142">
        <f>'Algorithm Ref Tables'!D23</f>
        <v>59.42</v>
      </c>
      <c r="F19" s="136"/>
      <c r="H19" s="370"/>
      <c r="I19" s="370"/>
    </row>
    <row r="20" spans="1:9">
      <c r="A20" s="93"/>
      <c r="B20" s="24" t="s">
        <v>177</v>
      </c>
      <c r="C20" s="115" t="s">
        <v>233</v>
      </c>
      <c r="D20" s="314" t="s">
        <v>10</v>
      </c>
      <c r="E20" s="315" t="s">
        <v>10</v>
      </c>
      <c r="F20" s="136"/>
      <c r="H20" s="370"/>
      <c r="I20" s="370"/>
    </row>
    <row r="21" spans="1:9">
      <c r="A21" s="93"/>
      <c r="B21" s="14"/>
      <c r="C21" s="299" t="s">
        <v>234</v>
      </c>
      <c r="D21" s="314" t="s">
        <v>10</v>
      </c>
      <c r="E21" s="315" t="s">
        <v>10</v>
      </c>
      <c r="F21" s="136"/>
      <c r="H21" s="370"/>
      <c r="I21" s="370"/>
    </row>
    <row r="22" spans="1:9" ht="16" customHeight="1">
      <c r="A22" s="93"/>
      <c r="B22" s="24" t="s">
        <v>347</v>
      </c>
      <c r="C22" s="115" t="s">
        <v>183</v>
      </c>
      <c r="D22" s="143" t="s">
        <v>163</v>
      </c>
      <c r="E22" s="144" t="s">
        <v>163</v>
      </c>
      <c r="F22" s="136"/>
      <c r="H22" s="370"/>
      <c r="I22" s="370"/>
    </row>
    <row r="23" spans="1:9" ht="16" customHeight="1">
      <c r="A23" s="93"/>
      <c r="B23" s="14"/>
      <c r="C23" s="115" t="s">
        <v>235</v>
      </c>
      <c r="D23" s="145" t="s">
        <v>163</v>
      </c>
      <c r="E23" s="90" t="s">
        <v>163</v>
      </c>
      <c r="F23" s="136"/>
      <c r="H23" s="370"/>
      <c r="I23" s="370"/>
    </row>
    <row r="24" spans="1:9" ht="17" customHeight="1">
      <c r="A24" s="93"/>
      <c r="B24" s="296" t="s">
        <v>38</v>
      </c>
      <c r="C24" s="116" t="s">
        <v>324</v>
      </c>
      <c r="D24" s="107">
        <v>5</v>
      </c>
      <c r="E24" s="107">
        <v>5</v>
      </c>
      <c r="F24" s="136"/>
      <c r="H24" s="370"/>
      <c r="I24" s="370"/>
    </row>
    <row r="25" spans="1:9" ht="19">
      <c r="A25" s="93"/>
      <c r="B25" s="81"/>
      <c r="C25" s="117" t="s">
        <v>325</v>
      </c>
      <c r="D25" s="92">
        <v>3</v>
      </c>
      <c r="E25" s="92">
        <v>3</v>
      </c>
      <c r="F25" s="136"/>
      <c r="H25" s="370"/>
      <c r="I25" s="370"/>
    </row>
    <row r="26" spans="1:9">
      <c r="A26" s="93"/>
      <c r="B26" s="320" t="s">
        <v>136</v>
      </c>
      <c r="C26" s="122" t="s">
        <v>30</v>
      </c>
      <c r="D26" s="20">
        <v>40000</v>
      </c>
      <c r="E26" s="20">
        <v>40000</v>
      </c>
      <c r="F26" s="136"/>
      <c r="H26" s="370"/>
      <c r="I26" s="370"/>
    </row>
    <row r="27" spans="1:9">
      <c r="A27" s="93"/>
      <c r="B27" s="13" t="s">
        <v>282</v>
      </c>
      <c r="C27" s="123" t="s">
        <v>29</v>
      </c>
      <c r="D27" s="20">
        <v>10000</v>
      </c>
      <c r="E27" s="20">
        <v>10000</v>
      </c>
      <c r="F27" s="136"/>
      <c r="H27" s="370"/>
      <c r="I27" s="370"/>
    </row>
    <row r="28" spans="1:9">
      <c r="A28" s="93"/>
      <c r="B28" s="13"/>
      <c r="C28" s="123" t="s">
        <v>283</v>
      </c>
      <c r="D28" s="20">
        <v>5000</v>
      </c>
      <c r="E28" s="20">
        <v>5000</v>
      </c>
      <c r="F28" s="136"/>
      <c r="H28" s="370"/>
      <c r="I28" s="370"/>
    </row>
    <row r="29" spans="1:9">
      <c r="A29" s="93"/>
      <c r="B29" s="14"/>
      <c r="C29" s="124" t="s">
        <v>35</v>
      </c>
      <c r="D29" s="20">
        <v>0</v>
      </c>
      <c r="E29" s="20">
        <v>0</v>
      </c>
      <c r="F29" s="136"/>
      <c r="H29" s="370"/>
      <c r="I29" s="370"/>
    </row>
    <row r="30" spans="1:9">
      <c r="A30" s="93"/>
      <c r="B30" s="13" t="s">
        <v>37</v>
      </c>
      <c r="C30" s="118"/>
      <c r="D30" s="20">
        <v>0</v>
      </c>
      <c r="E30" s="20">
        <v>0</v>
      </c>
      <c r="F30" s="136"/>
    </row>
    <row r="31" spans="1:9">
      <c r="A31" s="93"/>
      <c r="B31" s="14"/>
      <c r="C31" s="118"/>
      <c r="D31" s="20">
        <v>0</v>
      </c>
      <c r="E31" s="20">
        <v>0</v>
      </c>
      <c r="F31" s="136"/>
    </row>
    <row r="32" spans="1:9" s="151" customFormat="1">
      <c r="A32" s="93"/>
      <c r="B32" s="14"/>
      <c r="C32" s="118"/>
      <c r="D32" s="20">
        <v>0</v>
      </c>
      <c r="E32" s="20">
        <v>0</v>
      </c>
      <c r="F32" s="136"/>
      <c r="G32" s="286"/>
    </row>
    <row r="33" spans="1:6">
      <c r="A33" s="141"/>
      <c r="B33" s="148"/>
      <c r="C33" s="119" t="s">
        <v>236</v>
      </c>
      <c r="D33" s="149">
        <f>'Algorithm Ref Tables'!J34</f>
        <v>55000</v>
      </c>
      <c r="E33" s="149">
        <f>'Algorithm Ref Tables'!K34</f>
        <v>55000</v>
      </c>
      <c r="F33" s="150">
        <f>D33-E33</f>
        <v>0</v>
      </c>
    </row>
    <row r="34" spans="1:6">
      <c r="A34" s="151"/>
      <c r="B34" s="151"/>
      <c r="C34" s="83"/>
      <c r="D34" s="82"/>
      <c r="E34" s="82"/>
      <c r="F34" s="151"/>
    </row>
    <row r="35" spans="1:6" ht="21">
      <c r="A35" s="114"/>
      <c r="B35" s="84" t="s">
        <v>34</v>
      </c>
      <c r="C35" s="120"/>
      <c r="D35" s="445" t="s">
        <v>39</v>
      </c>
      <c r="E35" s="445"/>
      <c r="F35" s="152"/>
    </row>
    <row r="36" spans="1:6" ht="17" customHeight="1">
      <c r="A36" s="93"/>
      <c r="B36" s="321" t="s">
        <v>356</v>
      </c>
      <c r="C36" s="155" t="s">
        <v>336</v>
      </c>
      <c r="D36" s="74">
        <f>'Algorithm Ref Tables'!C8</f>
        <v>637.5</v>
      </c>
      <c r="E36" s="74">
        <f>'Algorithm Ref Tables'!D8</f>
        <v>637.5</v>
      </c>
      <c r="F36" s="289"/>
    </row>
    <row r="37" spans="1:6">
      <c r="A37" s="93"/>
      <c r="B37" s="13" t="s">
        <v>353</v>
      </c>
      <c r="C37" s="295" t="s">
        <v>333</v>
      </c>
      <c r="D37" s="74">
        <f>'Algorithm Ref Tables'!C9</f>
        <v>605.625</v>
      </c>
      <c r="E37" s="74">
        <f>'Algorithm Ref Tables'!D9</f>
        <v>605.625</v>
      </c>
      <c r="F37" s="136"/>
    </row>
    <row r="38" spans="1:6" ht="17" customHeight="1">
      <c r="A38" s="93"/>
      <c r="B38" s="14"/>
      <c r="C38" s="141" t="s">
        <v>316</v>
      </c>
      <c r="D38" s="293">
        <f>'Algorithm Ref Tables'!C13</f>
        <v>4.28</v>
      </c>
      <c r="E38" s="293">
        <f>'Algorithm Ref Tables'!D13</f>
        <v>4.28</v>
      </c>
      <c r="F38" s="136"/>
    </row>
    <row r="39" spans="1:6">
      <c r="A39" s="93"/>
      <c r="B39" s="13" t="s">
        <v>352</v>
      </c>
      <c r="C39" s="115" t="s">
        <v>329</v>
      </c>
      <c r="D39" s="95">
        <f>'Algorithm Ref Tables'!C33</f>
        <v>0.34</v>
      </c>
      <c r="E39" s="95">
        <f>'Algorithm Ref Tables'!D33</f>
        <v>0.34</v>
      </c>
      <c r="F39" s="136"/>
    </row>
    <row r="40" spans="1:6">
      <c r="A40" s="93"/>
      <c r="B40" s="14"/>
      <c r="C40" s="125" t="s">
        <v>330</v>
      </c>
      <c r="D40" s="97">
        <f>'Algorithm Ref Tables'!C36</f>
        <v>0.16</v>
      </c>
      <c r="E40" s="97">
        <f>'Algorithm Ref Tables'!D36</f>
        <v>0.16</v>
      </c>
      <c r="F40" s="136"/>
    </row>
    <row r="41" spans="1:6">
      <c r="A41" s="93"/>
      <c r="B41" s="14"/>
      <c r="C41" s="57" t="s">
        <v>195</v>
      </c>
      <c r="D41" s="344">
        <f>'Algorithm Ref Tables'!C37</f>
        <v>0.5</v>
      </c>
      <c r="E41" s="344">
        <f>'Algorithm Ref Tables'!D37</f>
        <v>0.5</v>
      </c>
      <c r="F41" s="136"/>
    </row>
    <row r="42" spans="1:6">
      <c r="A42" s="93"/>
      <c r="B42" s="350" t="s">
        <v>355</v>
      </c>
      <c r="C42" s="121" t="s">
        <v>128</v>
      </c>
      <c r="D42" s="316">
        <f>'Algorithm Ref Tables'!C19</f>
        <v>33.17</v>
      </c>
      <c r="E42" s="316">
        <f>'Algorithm Ref Tables'!D19</f>
        <v>33.17</v>
      </c>
      <c r="F42" s="136"/>
    </row>
    <row r="43" spans="1:6">
      <c r="A43" s="93"/>
      <c r="B43" s="93"/>
      <c r="C43" s="141" t="s">
        <v>138</v>
      </c>
      <c r="D43" s="140">
        <f>'Algorithm Ref Tables'!C18</f>
        <v>37800</v>
      </c>
      <c r="E43" s="140">
        <f>'Algorithm Ref Tables'!D18</f>
        <v>37800</v>
      </c>
      <c r="F43" s="136"/>
    </row>
    <row r="44" spans="1:6">
      <c r="A44" s="93"/>
      <c r="B44" s="13"/>
      <c r="C44" s="17" t="s">
        <v>331</v>
      </c>
      <c r="D44" s="316">
        <f>'Algorithm Ref Tables'!C28</f>
        <v>49.193133333333336</v>
      </c>
      <c r="E44" s="316">
        <f>'Algorithm Ref Tables'!D28</f>
        <v>49.193133333333336</v>
      </c>
      <c r="F44" s="136"/>
    </row>
    <row r="45" spans="1:6">
      <c r="A45" s="93"/>
      <c r="B45" s="14"/>
      <c r="C45" s="216" t="s">
        <v>387</v>
      </c>
      <c r="D45" s="330">
        <f>'Algorithm Ref Tables'!C38</f>
        <v>63.838700000000003</v>
      </c>
      <c r="E45" s="330">
        <f>'Algorithm Ref Tables'!D38</f>
        <v>63.838700000000003</v>
      </c>
      <c r="F45" s="136"/>
    </row>
    <row r="46" spans="1:6">
      <c r="A46" s="93"/>
      <c r="B46" s="13" t="s">
        <v>350</v>
      </c>
      <c r="C46" s="362" t="s">
        <v>393</v>
      </c>
      <c r="D46" s="363">
        <f>'Algorithm Ref Tables'!C42</f>
        <v>297942.18</v>
      </c>
      <c r="E46" s="363">
        <f>'Algorithm Ref Tables'!D42</f>
        <v>297942.18</v>
      </c>
      <c r="F46" s="150">
        <f>D46-E46</f>
        <v>0</v>
      </c>
    </row>
    <row r="47" spans="1:6">
      <c r="A47" s="93"/>
      <c r="B47" s="13" t="s">
        <v>354</v>
      </c>
      <c r="C47" s="17" t="s">
        <v>394</v>
      </c>
      <c r="D47" s="65">
        <f>D48+D49</f>
        <v>509749.71750000003</v>
      </c>
      <c r="E47" s="65">
        <f>E48+E49</f>
        <v>509749.71750000003</v>
      </c>
      <c r="F47" s="150"/>
    </row>
    <row r="48" spans="1:6">
      <c r="A48" s="93"/>
      <c r="B48" s="433"/>
      <c r="C48" s="360" t="s">
        <v>416</v>
      </c>
      <c r="D48" s="65">
        <f>'Algorithm Ref Tables'!J115</f>
        <v>204514.71750000003</v>
      </c>
      <c r="E48" s="65">
        <f>'Algorithm Ref Tables'!K115</f>
        <v>204514.71750000003</v>
      </c>
      <c r="F48" s="150"/>
    </row>
    <row r="49" spans="1:30">
      <c r="A49" s="93"/>
      <c r="B49" s="433"/>
      <c r="C49" s="361" t="s">
        <v>413</v>
      </c>
      <c r="D49" s="65">
        <f>'Algorithm Ref Tables'!J118</f>
        <v>305235</v>
      </c>
      <c r="E49" s="65">
        <f>'Algorithm Ref Tables'!K118</f>
        <v>305235</v>
      </c>
      <c r="F49" s="150"/>
    </row>
    <row r="50" spans="1:30">
      <c r="A50" s="93"/>
      <c r="B50" s="433"/>
      <c r="C50" s="362" t="s">
        <v>392</v>
      </c>
      <c r="D50" s="363">
        <f>'Algorithm Ref Tables'!C43</f>
        <v>552272.09030000004</v>
      </c>
      <c r="E50" s="363">
        <f>'Algorithm Ref Tables'!D43</f>
        <v>552272.09030000004</v>
      </c>
      <c r="F50" s="150">
        <f>D50-E50</f>
        <v>0</v>
      </c>
    </row>
    <row r="51" spans="1:30">
      <c r="A51" s="93"/>
      <c r="B51" s="364"/>
      <c r="C51" s="126" t="s">
        <v>395</v>
      </c>
      <c r="D51" s="363">
        <f>'Algorithm Ref Tables'!C44</f>
        <v>254329.91030000005</v>
      </c>
      <c r="E51" s="363">
        <f>'Algorithm Ref Tables'!D44</f>
        <v>254329.91030000005</v>
      </c>
      <c r="F51" s="150">
        <f t="shared" ref="F51:F52" si="0">D51-E51</f>
        <v>0</v>
      </c>
    </row>
    <row r="52" spans="1:30">
      <c r="A52" s="141"/>
      <c r="B52" s="148"/>
      <c r="C52" s="98" t="s">
        <v>396</v>
      </c>
      <c r="D52" s="317">
        <f>'Algorithm Ref Tables'!C45</f>
        <v>84776.636766666677</v>
      </c>
      <c r="E52" s="317">
        <f>'Algorithm Ref Tables'!D45</f>
        <v>84776.636766666677</v>
      </c>
      <c r="F52" s="150">
        <f t="shared" si="0"/>
        <v>0</v>
      </c>
      <c r="G52" s="287"/>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30" ht="16" customHeight="1">
      <c r="A53" s="155"/>
      <c r="B53" s="156"/>
      <c r="C53" s="270" t="s">
        <v>277</v>
      </c>
      <c r="D53" s="318">
        <f>'Algorithm Ref Tables'!C49</f>
        <v>199329.91030000005</v>
      </c>
      <c r="E53" s="318">
        <f>'Algorithm Ref Tables'!D49</f>
        <v>199329.91030000005</v>
      </c>
      <c r="F53" s="271">
        <f>D53-E53</f>
        <v>0</v>
      </c>
      <c r="G53" s="288"/>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row>
    <row r="54" spans="1:30" ht="8" customHeight="1">
      <c r="B54" s="157"/>
      <c r="C54" s="15"/>
      <c r="D54" s="16"/>
      <c r="E54" s="16"/>
      <c r="G54" s="286"/>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row>
    <row r="55" spans="1:30" ht="21">
      <c r="A55" s="114"/>
      <c r="B55" s="80"/>
      <c r="C55" s="80" t="s">
        <v>133</v>
      </c>
      <c r="D55" s="80"/>
      <c r="E55" s="80"/>
      <c r="F55" s="152"/>
    </row>
    <row r="56" spans="1:30">
      <c r="A56" s="93"/>
      <c r="B56" s="156"/>
      <c r="C56" s="160"/>
      <c r="D56" s="160"/>
      <c r="E56" s="160"/>
      <c r="F56" s="136"/>
    </row>
    <row r="57" spans="1:30">
      <c r="A57" s="93"/>
      <c r="B57" s="351" t="s">
        <v>126</v>
      </c>
      <c r="C57" s="161" t="s">
        <v>122</v>
      </c>
      <c r="D57" s="162">
        <v>5</v>
      </c>
      <c r="E57" s="162">
        <v>5</v>
      </c>
      <c r="F57" s="136"/>
    </row>
    <row r="58" spans="1:30">
      <c r="A58" s="93"/>
      <c r="B58" s="297" t="s">
        <v>127</v>
      </c>
      <c r="C58" s="164" t="s">
        <v>269</v>
      </c>
      <c r="D58" s="267" t="s">
        <v>10</v>
      </c>
      <c r="E58" s="267" t="s">
        <v>10</v>
      </c>
      <c r="F58" s="136"/>
    </row>
    <row r="59" spans="1:30">
      <c r="A59" s="93"/>
      <c r="B59" s="163"/>
      <c r="C59" s="164" t="s">
        <v>239</v>
      </c>
      <c r="D59" s="143" t="s">
        <v>221</v>
      </c>
      <c r="E59" s="143" t="s">
        <v>221</v>
      </c>
      <c r="F59" s="136"/>
    </row>
    <row r="60" spans="1:30" ht="18" customHeight="1">
      <c r="A60" s="93"/>
      <c r="B60" s="156"/>
      <c r="C60" s="164" t="s">
        <v>240</v>
      </c>
      <c r="D60" s="70">
        <f>'Algorithm Ref Tables'!J72</f>
        <v>100</v>
      </c>
      <c r="E60" s="70">
        <f>'Algorithm Ref Tables'!K72</f>
        <v>100</v>
      </c>
      <c r="F60" s="136"/>
    </row>
    <row r="61" spans="1:30" ht="17" customHeight="1">
      <c r="A61" s="93"/>
      <c r="B61" s="156"/>
      <c r="C61" s="164" t="s">
        <v>123</v>
      </c>
      <c r="D61" s="9">
        <f>'Algorithm Ref Tables'!J73</f>
        <v>325</v>
      </c>
      <c r="E61" s="9">
        <f>'Algorithm Ref Tables'!K73</f>
        <v>325</v>
      </c>
      <c r="F61" s="136"/>
    </row>
    <row r="62" spans="1:30" ht="17" customHeight="1">
      <c r="A62" s="165"/>
      <c r="B62" s="166"/>
      <c r="C62" s="164" t="s">
        <v>241</v>
      </c>
      <c r="D62" s="9">
        <f>'Algorithm Ref Tables'!J69</f>
        <v>2242.5108</v>
      </c>
      <c r="E62" s="9">
        <f>'Algorithm Ref Tables'!K69</f>
        <v>2242.5108</v>
      </c>
      <c r="F62" s="136"/>
    </row>
    <row r="63" spans="1:30">
      <c r="A63" s="165"/>
      <c r="B63" s="167"/>
      <c r="C63" s="71" t="s">
        <v>125</v>
      </c>
      <c r="D63" s="365">
        <f>'Algorithm Ref Tables'!J75</f>
        <v>23367.5108</v>
      </c>
      <c r="E63" s="365">
        <f>'Algorithm Ref Tables'!K75</f>
        <v>23367.5108</v>
      </c>
      <c r="F63" s="150">
        <f>D63-E63</f>
        <v>0</v>
      </c>
    </row>
    <row r="64" spans="1:30" ht="33" customHeight="1">
      <c r="A64" s="168"/>
      <c r="B64" s="120"/>
      <c r="C64" s="120"/>
      <c r="D64" s="120"/>
      <c r="E64" s="120"/>
      <c r="F64" s="169"/>
    </row>
    <row r="74" spans="24:24">
      <c r="X74" s="6">
        <v>1</v>
      </c>
    </row>
    <row r="76" spans="24:24">
      <c r="X76" s="6">
        <v>2</v>
      </c>
    </row>
    <row r="77" spans="24:24">
      <c r="X77" s="6">
        <v>3</v>
      </c>
    </row>
    <row r="78" spans="24:24">
      <c r="X78" s="6">
        <v>4</v>
      </c>
    </row>
    <row r="79" spans="24:24">
      <c r="X79" s="6">
        <v>5</v>
      </c>
    </row>
  </sheetData>
  <sheetProtection sheet="1" objects="1" scenarios="1" selectLockedCells="1"/>
  <mergeCells count="4">
    <mergeCell ref="B2:F2"/>
    <mergeCell ref="B3:F3"/>
    <mergeCell ref="D4:F4"/>
    <mergeCell ref="D35:E35"/>
  </mergeCells>
  <hyperlinks>
    <hyperlink ref="B6" location="'Details and Definitions'!A3" display="Practice Derived Input Data" xr:uid="{42A05BCF-E7E4-4D4B-ABF7-97D2E5531951}"/>
    <hyperlink ref="B18" location="'Details and Definitions'!A11" display="Primary Care First Input Data" xr:uid="{B342B963-DA22-C448-A9F4-DD0065CA66CC}"/>
    <hyperlink ref="B26" location="'Details and Definitions'!A37" display="PCF Practice Additional Overhead" xr:uid="{5443F2F1-ADB7-B84F-A0D3-11BDCDB5AC55}"/>
    <hyperlink ref="B36" location="'Details and Definitions'!A40" display="Algorithm Outputs" xr:uid="{F14573B4-50F1-2E44-BA78-A7F38E79B8BE}"/>
    <hyperlink ref="B42" location="'Details and Definitions'!A47" display="Medicare FFS vs. PCF Model Revenue" xr:uid="{687811F5-D1FA-AB49-9987-DC1F00D7BD4B}"/>
    <hyperlink ref="B57" location="'Details and Definitions'!A58" display="Seriously Ill Populations &amp; PCF" xr:uid="{2D2852F4-DE0B-C74B-9912-63C7F8F49519}"/>
  </hyperlinks>
  <pageMargins left="0.7" right="0.7" top="0.75" bottom="0.75" header="0.3" footer="0.3"/>
  <pageSetup scale="57" orientation="portrait" horizontalDpi="0" verticalDpi="0"/>
  <drawing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6FD59DA-423F-5A40-9FE0-DC6EFE24D12A}">
          <x14:formula1>
            <xm:f>'Algorithm Ref Tables'!$J$97:$K$97</xm:f>
          </x14:formula1>
          <xm:sqref>D21:E21 D58:E58</xm:sqref>
        </x14:dataValidation>
        <x14:dataValidation type="list" allowBlank="1" showInputMessage="1" showErrorMessage="1" xr:uid="{97BCADAB-CA92-4244-862A-E060E9D19B19}">
          <x14:formula1>
            <xm:f>'Algorithm Ref Tables'!$L$67:$N$67</xm:f>
          </x14:formula1>
          <xm:sqref>D59:E59</xm:sqref>
        </x14:dataValidation>
        <x14:dataValidation type="list" allowBlank="1" showInputMessage="1" showErrorMessage="1" xr:uid="{E28BC1CA-F55D-C248-9F6A-4D62F28238E0}">
          <x14:formula1>
            <xm:f>'Algorithm Ref Tables'!$J$96:$M$96</xm:f>
          </x14:formula1>
          <xm:sqref>D20:E20</xm:sqref>
        </x14:dataValidation>
        <x14:dataValidation type="list" allowBlank="1" showInputMessage="1" showErrorMessage="1" xr:uid="{57EFEB42-60DC-3D45-A96B-ADAB44B95469}">
          <x14:formula1>
            <xm:f>'Algorithm Ref Tables'!$E$17:$E$23</xm:f>
          </x14:formula1>
          <xm:sqref>D22:E22</xm:sqref>
        </x14:dataValidation>
        <x14:dataValidation type="list" allowBlank="1" showInputMessage="1" showErrorMessage="1" xr:uid="{5EDFD3D7-A38E-7849-AAD3-6D5E80EAE9A5}">
          <x14:formula1>
            <xm:f>'Algorithm Ref Tables'!$E$25:$E$32</xm:f>
          </x14:formula1>
          <xm:sqref>D23:E23</xm:sqref>
        </x14:dataValidation>
        <x14:dataValidation type="list" allowBlank="1" showInputMessage="1" showErrorMessage="1" xr:uid="{67F7DD3D-2F1D-004D-95E2-B29A97BFDDEF}">
          <x14:formula1>
            <xm:f>'Algorithm Ref Tables'!$I$85:$I$88</xm:f>
          </x14:formula1>
          <xm:sqref>D18:E18</xm:sqref>
        </x14:dataValidation>
        <x14:dataValidation type="list" allowBlank="1" showInputMessage="1" showErrorMessage="1" xr:uid="{7C38B1EE-19A5-B540-ACE2-25A67BB3E2F2}">
          <x14:formula1>
            <xm:f>'Algorithm Ref Tables'!$I$87:$I$88</xm:f>
          </x14:formula1>
          <xm:sqref>D25:E25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83A5E-720D-694C-9F4F-C6DEF84E5F0C}">
  <sheetPr>
    <tabColor rgb="FF92D050"/>
  </sheetPr>
  <dimension ref="A1:AE120"/>
  <sheetViews>
    <sheetView zoomScale="118" zoomScaleNormal="110" workbookViewId="0">
      <selection activeCell="D40" sqref="D40"/>
    </sheetView>
  </sheetViews>
  <sheetFormatPr baseColWidth="10" defaultColWidth="10.83203125" defaultRowHeight="16"/>
  <cols>
    <col min="1" max="1" width="3.33203125" style="69" customWidth="1"/>
    <col min="2" max="2" width="59.5" style="69" customWidth="1"/>
    <col min="3" max="3" width="16.33203125" style="69" customWidth="1"/>
    <col min="4" max="4" width="18.1640625" style="69" customWidth="1"/>
    <col min="5" max="5" width="38.1640625" style="69" customWidth="1"/>
    <col min="6" max="6" width="10.83203125" style="69"/>
    <col min="7" max="7" width="3.6640625" style="69" customWidth="1"/>
    <col min="8" max="8" width="4" style="281" customWidth="1"/>
    <col min="9" max="9" width="46.5" style="377" customWidth="1"/>
    <col min="10" max="10" width="13.5" style="377" customWidth="1"/>
    <col min="11" max="11" width="13" style="377" customWidth="1"/>
    <col min="12" max="12" width="12.83203125" style="69" customWidth="1"/>
    <col min="13" max="13" width="11.6640625" style="69" customWidth="1"/>
    <col min="14" max="15" width="11.83203125" style="69" customWidth="1"/>
    <col min="16" max="16" width="10.1640625" style="69" customWidth="1"/>
    <col min="17" max="16384" width="10.83203125" style="69"/>
  </cols>
  <sheetData>
    <row r="1" spans="1:30" s="37" customFormat="1" ht="28" customHeight="1">
      <c r="A1" s="35"/>
      <c r="B1" s="446" t="s">
        <v>48</v>
      </c>
      <c r="C1" s="446"/>
      <c r="D1" s="446"/>
      <c r="E1" s="446"/>
      <c r="F1" s="446"/>
      <c r="G1" s="36"/>
      <c r="H1" s="281"/>
      <c r="I1" s="170"/>
      <c r="J1" s="170"/>
      <c r="K1" s="170"/>
    </row>
    <row r="2" spans="1:30" s="42" customFormat="1" ht="34" customHeight="1">
      <c r="A2" s="38"/>
      <c r="B2" s="104"/>
      <c r="C2" s="105"/>
      <c r="D2" s="105"/>
      <c r="E2" s="105"/>
      <c r="F2" s="106"/>
      <c r="G2" s="39"/>
      <c r="H2" s="281"/>
      <c r="I2" s="171"/>
      <c r="J2" s="40"/>
      <c r="K2" s="40"/>
      <c r="L2" s="41"/>
      <c r="M2" s="41"/>
      <c r="N2" s="41"/>
      <c r="O2" s="41"/>
      <c r="P2" s="41"/>
      <c r="Q2" s="127"/>
      <c r="R2" s="127"/>
      <c r="S2" s="127"/>
      <c r="T2" s="127"/>
    </row>
    <row r="3" spans="1:30" s="176" customFormat="1" ht="52" customHeight="1" thickBot="1">
      <c r="A3" s="172"/>
      <c r="B3" s="43" t="s">
        <v>0</v>
      </c>
      <c r="C3" s="310" t="s">
        <v>11</v>
      </c>
      <c r="D3" s="310" t="s">
        <v>12</v>
      </c>
      <c r="E3" s="447" t="s">
        <v>344</v>
      </c>
      <c r="F3" s="448"/>
      <c r="G3" s="44"/>
      <c r="H3" s="281"/>
      <c r="I3" s="376" t="s">
        <v>411</v>
      </c>
      <c r="J3" s="449"/>
      <c r="K3" s="449"/>
      <c r="L3" s="449"/>
      <c r="M3" s="173"/>
      <c r="N3" s="173"/>
      <c r="O3" s="173"/>
      <c r="P3" s="174"/>
      <c r="Q3" s="175"/>
      <c r="R3" s="175"/>
      <c r="S3" s="175"/>
      <c r="T3" s="175"/>
    </row>
    <row r="4" spans="1:30" ht="19" customHeight="1">
      <c r="A4" s="172"/>
      <c r="B4" s="306" t="s">
        <v>343</v>
      </c>
      <c r="C4" s="307"/>
      <c r="D4" s="308"/>
      <c r="E4" s="177" t="s">
        <v>2</v>
      </c>
      <c r="F4" s="177"/>
      <c r="G4" s="178"/>
      <c r="L4" s="68" t="s">
        <v>201</v>
      </c>
      <c r="P4" s="68" t="s">
        <v>201</v>
      </c>
      <c r="Q4" s="69" t="s">
        <v>313</v>
      </c>
    </row>
    <row r="5" spans="1:30" ht="16" customHeight="1">
      <c r="A5" s="55"/>
      <c r="B5" s="304" t="s">
        <v>4</v>
      </c>
      <c r="C5" s="305">
        <f>'PCF Revenue Calculator'!D6</f>
        <v>3</v>
      </c>
      <c r="D5" s="305">
        <f>'PCF Revenue Calculator'!E6</f>
        <v>3</v>
      </c>
      <c r="E5" s="177" t="s">
        <v>3</v>
      </c>
      <c r="F5" s="177">
        <v>200</v>
      </c>
      <c r="G5" s="178"/>
      <c r="I5" s="179" t="s">
        <v>11</v>
      </c>
      <c r="J5" s="378" t="s">
        <v>248</v>
      </c>
      <c r="K5" s="379" t="s">
        <v>187</v>
      </c>
      <c r="L5" s="74" t="s">
        <v>188</v>
      </c>
      <c r="M5" s="99" t="s">
        <v>13</v>
      </c>
      <c r="N5" s="99" t="s">
        <v>140</v>
      </c>
      <c r="O5" s="99" t="s">
        <v>141</v>
      </c>
      <c r="P5" s="74" t="s">
        <v>142</v>
      </c>
      <c r="Q5" s="180" t="s">
        <v>314</v>
      </c>
      <c r="R5" s="181"/>
      <c r="S5" s="181"/>
      <c r="T5" s="181"/>
      <c r="U5" s="181"/>
      <c r="V5" s="182"/>
      <c r="W5" s="180"/>
      <c r="X5" s="183"/>
      <c r="Y5" s="182"/>
      <c r="Z5" s="182"/>
      <c r="AA5" s="182"/>
      <c r="AB5" s="182"/>
      <c r="AC5" s="182"/>
      <c r="AD5" s="182"/>
    </row>
    <row r="6" spans="1:30">
      <c r="A6" s="55"/>
      <c r="B6" s="54" t="s">
        <v>368</v>
      </c>
      <c r="C6" s="74">
        <f>'PCF Revenue Calculator'!D9</f>
        <v>750</v>
      </c>
      <c r="D6" s="74">
        <f>'PCF Revenue Calculator'!E9</f>
        <v>750</v>
      </c>
      <c r="E6" s="177" t="s">
        <v>1</v>
      </c>
      <c r="F6" s="45">
        <v>93</v>
      </c>
      <c r="G6" s="178"/>
      <c r="I6" s="377" t="s">
        <v>287</v>
      </c>
      <c r="J6" s="380">
        <f>P6+L6</f>
        <v>0.5</v>
      </c>
      <c r="K6" s="381">
        <f>C32</f>
        <v>0.34</v>
      </c>
      <c r="L6" s="76">
        <f>IF(AND(C21="Y",C22="Y"),K6,0)</f>
        <v>0.34</v>
      </c>
      <c r="M6" s="75">
        <f>C35</f>
        <v>0.16</v>
      </c>
      <c r="N6" s="75">
        <f>IF($K6=$M34,$N34,IF($K6=$M33,$N33,IF($K6=$M32,$N32,IF($K6=$M31,$N31,IF($K6=$M30,$N30,IF($K6=$M29,$N29,IF($K6=$M28,$N28)))))))</f>
        <v>0.16</v>
      </c>
      <c r="O6" s="75">
        <f>IF(M6&gt;N6,N6,M6)</f>
        <v>0.16</v>
      </c>
      <c r="P6" s="76">
        <f>IF(AND(C21="Y",C22="Y"),O6,0)</f>
        <v>0.16</v>
      </c>
      <c r="Q6" s="69" t="s">
        <v>284</v>
      </c>
      <c r="R6" s="184"/>
      <c r="S6" s="184"/>
      <c r="T6" s="184"/>
      <c r="U6" s="184"/>
      <c r="V6" s="184"/>
      <c r="W6" s="184"/>
      <c r="X6" s="185"/>
    </row>
    <row r="7" spans="1:30">
      <c r="A7" s="55"/>
      <c r="B7" s="291" t="s">
        <v>342</v>
      </c>
      <c r="C7" s="74">
        <f>C6*J38</f>
        <v>712.5</v>
      </c>
      <c r="D7" s="292">
        <f>'PCF Revenue Calculator'!E11</f>
        <v>712.5</v>
      </c>
      <c r="E7" s="177" t="s">
        <v>5</v>
      </c>
      <c r="F7" s="187">
        <v>40.82</v>
      </c>
      <c r="G7" s="178"/>
      <c r="I7" s="377" t="s">
        <v>288</v>
      </c>
      <c r="J7" s="380">
        <f>P7+L7</f>
        <v>0</v>
      </c>
      <c r="K7" s="382">
        <f>IF(C31=E23,-0.1,0)</f>
        <v>0</v>
      </c>
      <c r="L7" s="76">
        <f>IF(AND(C21="Y",C22="N"),K7,0)</f>
        <v>0</v>
      </c>
      <c r="M7" s="75">
        <f>IF(C35&lt;4%,C35,3.5%)</f>
        <v>3.5000000000000003E-2</v>
      </c>
      <c r="N7" s="75"/>
      <c r="O7" s="75"/>
      <c r="P7" s="76">
        <f>IF(AND(C21="Y",C22="N"),M7,0)</f>
        <v>0</v>
      </c>
      <c r="Q7" s="69" t="s">
        <v>285</v>
      </c>
      <c r="R7" s="184"/>
      <c r="S7" s="184"/>
      <c r="T7" s="184"/>
      <c r="U7" s="184"/>
      <c r="V7" s="184"/>
      <c r="W7" s="184"/>
      <c r="X7" s="185"/>
    </row>
    <row r="8" spans="1:30">
      <c r="A8" s="55"/>
      <c r="B8" s="291" t="s">
        <v>334</v>
      </c>
      <c r="C8" s="74">
        <f>C6*J81</f>
        <v>637.5</v>
      </c>
      <c r="D8" s="74">
        <f>D6*K81</f>
        <v>637.5</v>
      </c>
      <c r="E8" s="112" t="s">
        <v>213</v>
      </c>
      <c r="F8" s="188">
        <v>18.600000000000001</v>
      </c>
      <c r="G8" s="178"/>
      <c r="I8" s="377" t="s">
        <v>289</v>
      </c>
      <c r="J8" s="380">
        <f>P8+L8</f>
        <v>0</v>
      </c>
      <c r="K8" s="381">
        <f>C32</f>
        <v>0.34</v>
      </c>
      <c r="L8" s="76">
        <f>IF(AND(C21="NA  (Yr 1)",C22="Y"),K8,0)</f>
        <v>0</v>
      </c>
      <c r="M8" s="75">
        <f>C35</f>
        <v>0.16</v>
      </c>
      <c r="N8" s="75">
        <f>IF($K8=$M34,$N34,IF($K8=$M33,$N33,IF($K8=$M32,$N32,IF($K8=$M31,$N31,IF($K8=$M30,$N30,IF($K8=$M29,$N29,IF($K8=$M28,$N28)))))))</f>
        <v>0.16</v>
      </c>
      <c r="O8" s="75">
        <f>IF(M8&gt;N8,N8,M8)</f>
        <v>0.16</v>
      </c>
      <c r="P8" s="76">
        <f>IF(AND(C21="NA  (Yr 1)",C22="Y"),O8,0)</f>
        <v>0</v>
      </c>
      <c r="Q8" s="69" t="s">
        <v>286</v>
      </c>
      <c r="R8" s="184"/>
      <c r="S8" s="184"/>
      <c r="T8" s="184"/>
      <c r="U8" s="184"/>
      <c r="V8" s="184"/>
      <c r="W8" s="184"/>
      <c r="X8" s="185"/>
    </row>
    <row r="9" spans="1:30" ht="17" customHeight="1">
      <c r="A9" s="55"/>
      <c r="B9" s="300" t="s">
        <v>333</v>
      </c>
      <c r="C9" s="292">
        <f>C7*J81</f>
        <v>605.625</v>
      </c>
      <c r="D9" s="292">
        <f>D7*K81</f>
        <v>605.625</v>
      </c>
      <c r="E9" s="177" t="s">
        <v>192</v>
      </c>
      <c r="F9" s="189">
        <f>K85</f>
        <v>4.28</v>
      </c>
      <c r="G9" s="46"/>
      <c r="I9" s="377" t="s">
        <v>290</v>
      </c>
      <c r="J9" s="380">
        <f>P9+L9</f>
        <v>0</v>
      </c>
      <c r="K9" s="382">
        <f>IF(C31=E23,-0.1,0)</f>
        <v>0</v>
      </c>
      <c r="L9" s="76">
        <f>IF(AND(C21="NA  (Yr 1)",C22="N"),K9,0)</f>
        <v>0</v>
      </c>
      <c r="M9" s="75">
        <f>C35</f>
        <v>0.16</v>
      </c>
      <c r="N9" s="75">
        <f>IF($K9=$M34,$N34,IF($K9=$M33,$N33,IF($K9=$M32,$N32,IF($K9=$M31,$N31,IF($K9=$M30,$N30,IF($K9=$M29,$N29,IF($K9=$M28,$N28)))))))</f>
        <v>3.5000000000000003E-2</v>
      </c>
      <c r="O9" s="75">
        <f>IF(M9&gt;N9,N9,M9)</f>
        <v>3.5000000000000003E-2</v>
      </c>
      <c r="P9" s="76">
        <f>IF(AND(C21="NA  (Yr 1)",C22="N"),O9,0)</f>
        <v>0</v>
      </c>
      <c r="Q9" s="69" t="s">
        <v>293</v>
      </c>
      <c r="R9" s="184"/>
      <c r="S9" s="184"/>
      <c r="T9" s="184"/>
      <c r="U9" s="184"/>
      <c r="V9" s="184"/>
      <c r="W9" s="184"/>
      <c r="X9" s="190"/>
    </row>
    <row r="10" spans="1:30">
      <c r="A10" s="55"/>
      <c r="B10" s="332" t="s">
        <v>363</v>
      </c>
      <c r="C10" s="333">
        <f>'PCF Revenue Calculator'!D13</f>
        <v>0.05</v>
      </c>
      <c r="D10" s="333">
        <f>'PCF Revenue Calculator'!E13</f>
        <v>0.05</v>
      </c>
      <c r="E10" s="192" t="s">
        <v>281</v>
      </c>
      <c r="F10" s="199">
        <v>42</v>
      </c>
      <c r="G10" s="48"/>
      <c r="I10" s="377" t="s">
        <v>291</v>
      </c>
      <c r="J10" s="380">
        <f>L10</f>
        <v>0</v>
      </c>
      <c r="K10" s="382">
        <f>IF(C31=E23,-0.1,0)</f>
        <v>0</v>
      </c>
      <c r="L10" s="76">
        <f>IF(AND(C21="N  (Yr 2)",C22="Y"),K10,0)</f>
        <v>0</v>
      </c>
      <c r="M10" s="75"/>
      <c r="N10" s="75"/>
      <c r="O10" s="75"/>
      <c r="P10" s="76"/>
      <c r="Q10" s="110" t="s">
        <v>179</v>
      </c>
      <c r="R10" s="184"/>
      <c r="S10" s="184"/>
      <c r="T10" s="184"/>
      <c r="U10" s="184"/>
      <c r="V10" s="184"/>
      <c r="W10" s="184"/>
      <c r="X10" s="190"/>
    </row>
    <row r="11" spans="1:30">
      <c r="A11" s="55"/>
      <c r="B11" s="54" t="s">
        <v>250</v>
      </c>
      <c r="C11" s="327">
        <f>IF(C14=1,$K85,IF(C14=2,$K86,IF(C14=3,$K87,IF(C14=4,$K88))))</f>
        <v>4.28</v>
      </c>
      <c r="D11" s="327">
        <f>'PCF Revenue Calculator'!E14</f>
        <v>4.28</v>
      </c>
      <c r="E11" s="51" t="s">
        <v>242</v>
      </c>
      <c r="F11" s="194" t="s">
        <v>109</v>
      </c>
      <c r="G11" s="178"/>
      <c r="I11" s="377" t="s">
        <v>294</v>
      </c>
      <c r="J11" s="380">
        <f>L11</f>
        <v>0</v>
      </c>
      <c r="K11" s="382">
        <f>IF(C31=E23,-0.1,0)</f>
        <v>0</v>
      </c>
      <c r="L11" s="76">
        <f>IF(AND(C21="N  (Yr 2)",C22="N"),K11,0)</f>
        <v>0</v>
      </c>
      <c r="M11" s="75"/>
      <c r="N11" s="75"/>
      <c r="O11" s="75"/>
      <c r="P11" s="76"/>
      <c r="Q11" s="110" t="s">
        <v>179</v>
      </c>
      <c r="R11" s="184"/>
      <c r="S11" s="184"/>
      <c r="T11" s="184"/>
      <c r="U11" s="184"/>
      <c r="V11" s="184"/>
    </row>
    <row r="12" spans="1:30">
      <c r="A12" s="55"/>
      <c r="B12" s="54" t="s">
        <v>130</v>
      </c>
      <c r="C12" s="186">
        <f>'PCF Revenue Calculator'!D15</f>
        <v>0</v>
      </c>
      <c r="D12" s="186">
        <f>'PCF Revenue Calculator'!E15</f>
        <v>0</v>
      </c>
      <c r="E12" s="196" t="s">
        <v>254</v>
      </c>
      <c r="F12" s="45">
        <v>28</v>
      </c>
      <c r="G12" s="49"/>
      <c r="I12" s="377" t="s">
        <v>292</v>
      </c>
      <c r="J12" s="380">
        <f>L12</f>
        <v>0</v>
      </c>
      <c r="K12" s="382">
        <f>J93</f>
        <v>-0.1</v>
      </c>
      <c r="L12" s="76">
        <f>IF(C21="N  (Yr 3)",K12,0)</f>
        <v>0</v>
      </c>
      <c r="M12" s="75"/>
      <c r="N12" s="75"/>
      <c r="O12" s="75"/>
      <c r="P12" s="76"/>
      <c r="Q12" s="110" t="s">
        <v>295</v>
      </c>
      <c r="R12" s="184"/>
      <c r="S12" s="184"/>
      <c r="T12" s="184"/>
      <c r="U12" s="184"/>
    </row>
    <row r="13" spans="1:30" ht="18" customHeight="1">
      <c r="A13" s="55"/>
      <c r="B13" s="216" t="s">
        <v>315</v>
      </c>
      <c r="C13" s="293">
        <f>C11+C11*C12</f>
        <v>4.28</v>
      </c>
      <c r="D13" s="293">
        <f>D11+D11*D12</f>
        <v>4.28</v>
      </c>
      <c r="E13" s="196" t="s">
        <v>253</v>
      </c>
      <c r="F13" s="45">
        <v>45</v>
      </c>
      <c r="G13" s="178"/>
      <c r="I13" s="52" t="s">
        <v>189</v>
      </c>
      <c r="J13" s="380">
        <f>SUM(J6:J12)</f>
        <v>0.5</v>
      </c>
      <c r="L13" s="100">
        <f>SUM(L6:L12)</f>
        <v>0.34</v>
      </c>
      <c r="N13" s="53"/>
      <c r="P13" s="100">
        <f>SUM(P6:P10)</f>
        <v>0.16</v>
      </c>
      <c r="R13" s="184"/>
      <c r="S13" s="184"/>
      <c r="T13" s="184"/>
      <c r="U13" s="184"/>
    </row>
    <row r="14" spans="1:30" ht="17" thickBot="1">
      <c r="A14" s="55"/>
      <c r="B14" s="79" t="s">
        <v>251</v>
      </c>
      <c r="C14" s="191">
        <f>'PCF Revenue Calculator'!D18</f>
        <v>1</v>
      </c>
      <c r="D14" s="191">
        <f>'PCF Revenue Calculator'!E18</f>
        <v>1</v>
      </c>
      <c r="E14" s="196" t="s">
        <v>255</v>
      </c>
      <c r="F14" s="45">
        <v>100</v>
      </c>
      <c r="G14" s="46"/>
      <c r="I14" s="383"/>
    </row>
    <row r="15" spans="1:30" ht="19">
      <c r="A15" s="55"/>
      <c r="B15" s="303" t="s">
        <v>6</v>
      </c>
      <c r="C15" s="177"/>
      <c r="D15" s="193"/>
      <c r="E15" s="198" t="s">
        <v>256</v>
      </c>
      <c r="F15" s="199">
        <v>175</v>
      </c>
      <c r="G15" s="46"/>
      <c r="I15" s="179" t="s">
        <v>12</v>
      </c>
      <c r="J15" s="378" t="s">
        <v>247</v>
      </c>
      <c r="K15" s="384" t="s">
        <v>187</v>
      </c>
      <c r="L15" s="74" t="s">
        <v>143</v>
      </c>
      <c r="M15" s="101" t="s">
        <v>13</v>
      </c>
      <c r="N15" s="99" t="s">
        <v>140</v>
      </c>
      <c r="O15" s="99" t="s">
        <v>141</v>
      </c>
      <c r="P15" s="74" t="s">
        <v>142</v>
      </c>
    </row>
    <row r="16" spans="1:30">
      <c r="A16" s="55"/>
      <c r="B16" s="216" t="s">
        <v>357</v>
      </c>
      <c r="C16" s="316">
        <f>F6</f>
        <v>93</v>
      </c>
      <c r="D16" s="316">
        <f>'PCF Revenue Calculator'!E16</f>
        <v>93</v>
      </c>
      <c r="E16" s="51" t="s">
        <v>186</v>
      </c>
      <c r="F16" s="177"/>
      <c r="G16" s="46"/>
      <c r="I16" s="377" t="s">
        <v>287</v>
      </c>
      <c r="J16" s="380">
        <f>P16+L16</f>
        <v>0.5</v>
      </c>
      <c r="K16" s="381">
        <f>D32</f>
        <v>0.34</v>
      </c>
      <c r="L16" s="76">
        <f>IF(AND(D21="Y",D22="Y"),K16,0)</f>
        <v>0.34</v>
      </c>
      <c r="M16" s="75">
        <f>D35</f>
        <v>0.16</v>
      </c>
      <c r="N16" s="75">
        <f>IF($K16=$M34,$N34,IF($K16=$M33,$N33,IF($K16=$M32,$N32,IF($K16=$M31,$N31,IF($K16=$M30,$N30,IF($K16=$M29,$N29,IF($K16=$M28,$N28)))))))</f>
        <v>0.16</v>
      </c>
      <c r="O16" s="75">
        <f>IF(M16&gt;N16,N16,M16)</f>
        <v>0.16</v>
      </c>
      <c r="P16" s="76">
        <f>IF(AND(D21="Y",D22="Y"),O16,0)</f>
        <v>0.16</v>
      </c>
    </row>
    <row r="17" spans="1:26">
      <c r="A17" s="55"/>
      <c r="B17" s="294" t="s">
        <v>317</v>
      </c>
      <c r="C17" s="47">
        <f>'PCF Revenue Calculator'!D17</f>
        <v>0.1</v>
      </c>
      <c r="D17" s="47">
        <f>'PCF Revenue Calculator'!E17</f>
        <v>0.1</v>
      </c>
      <c r="E17" s="13" t="s">
        <v>163</v>
      </c>
      <c r="F17" s="203">
        <v>0.34</v>
      </c>
      <c r="G17" s="46"/>
      <c r="I17" s="377" t="s">
        <v>288</v>
      </c>
      <c r="J17" s="380">
        <f>P17+L17</f>
        <v>0</v>
      </c>
      <c r="K17" s="382">
        <f>IF(D31=E23,-0.1,0)</f>
        <v>0</v>
      </c>
      <c r="L17" s="76">
        <f>IF(AND(D21="Y",D22="N"),K17,0)</f>
        <v>0</v>
      </c>
      <c r="M17" s="75">
        <f>IF(D35&lt;4%,D35,3.5%)</f>
        <v>3.5000000000000003E-2</v>
      </c>
      <c r="N17" s="75"/>
      <c r="O17" s="75"/>
      <c r="P17" s="76">
        <f>IF(AND(D21="Y",D22="N"),M17,0)</f>
        <v>0</v>
      </c>
    </row>
    <row r="18" spans="1:26">
      <c r="A18" s="55"/>
      <c r="B18" s="301" t="s">
        <v>138</v>
      </c>
      <c r="C18" s="195">
        <f>C6*C17*$F10*12</f>
        <v>37800</v>
      </c>
      <c r="D18" s="195">
        <f>D6*D17*$F10*12</f>
        <v>37800</v>
      </c>
      <c r="E18" s="13" t="s">
        <v>172</v>
      </c>
      <c r="F18" s="203">
        <v>0.27</v>
      </c>
      <c r="G18" s="46"/>
      <c r="I18" s="377" t="s">
        <v>289</v>
      </c>
      <c r="J18" s="380">
        <f>P18+L18</f>
        <v>0</v>
      </c>
      <c r="K18" s="381">
        <f>D32</f>
        <v>0.34</v>
      </c>
      <c r="L18" s="76">
        <f>IF(AND(D21="NA  (Yr 1)",D22="Y"),K18,0)</f>
        <v>0</v>
      </c>
      <c r="M18" s="75">
        <f>D35</f>
        <v>0.16</v>
      </c>
      <c r="N18" s="75">
        <f>IF($K18=$M34,$N34,IF($K18=$M33,$N33,IF($K18=$M32,$N32,IF($K18=$M31,$N31,IF($K18=$M30,$N30,IF($K18=$M29,$N29,IF($K18=$M28,$N28)))))))</f>
        <v>0.16</v>
      </c>
      <c r="O18" s="75">
        <f>IF(M18&gt;N18,N18,M18)</f>
        <v>0.16</v>
      </c>
      <c r="P18" s="76">
        <f>IF(AND(D21="NA  (Yr 1)",D22="Y"),O18,0)</f>
        <v>0</v>
      </c>
    </row>
    <row r="19" spans="1:26" ht="17" thickBot="1">
      <c r="A19" s="55"/>
      <c r="B19" s="54" t="s">
        <v>8</v>
      </c>
      <c r="C19" s="331">
        <f>C16*C11/12</f>
        <v>33.17</v>
      </c>
      <c r="D19" s="331">
        <f>D16*D11/12</f>
        <v>33.17</v>
      </c>
      <c r="E19" s="13" t="s">
        <v>173</v>
      </c>
      <c r="F19" s="203">
        <v>0.2</v>
      </c>
      <c r="G19" s="202"/>
      <c r="I19" s="377" t="s">
        <v>290</v>
      </c>
      <c r="J19" s="380">
        <f>P19+L19</f>
        <v>0</v>
      </c>
      <c r="K19" s="382">
        <f>IF(D31=E23,-0.1,0)</f>
        <v>0</v>
      </c>
      <c r="L19" s="76">
        <f>IF(AND(D21="NA  (Yr 1)",D22="N"),K19,0)</f>
        <v>0</v>
      </c>
      <c r="M19" s="75">
        <f>D35</f>
        <v>0.16</v>
      </c>
      <c r="N19" s="75">
        <f>IF($K19=$M34,$N34,IF($K19=$M33,$N33,IF($K19=$M32,$N32,IF($K19=$M31,$N31,IF($K19=$M30,$N30,IF($K19=$M29,$N29,IF($K19=$M28,$N28)))))))</f>
        <v>3.5000000000000003E-2</v>
      </c>
      <c r="O19" s="75">
        <f>IF(M19&gt;N19,N19,M19)</f>
        <v>3.5000000000000003E-2</v>
      </c>
      <c r="P19" s="76">
        <f>IF(AND(D21="NA  (Yr 1)",D22="N"),O19,0)</f>
        <v>0</v>
      </c>
    </row>
    <row r="20" spans="1:26" ht="16" customHeight="1">
      <c r="A20" s="55"/>
      <c r="B20" s="303" t="s">
        <v>7</v>
      </c>
      <c r="C20" s="302"/>
      <c r="D20" s="197"/>
      <c r="E20" s="13" t="s">
        <v>174</v>
      </c>
      <c r="F20" s="203">
        <v>0.13</v>
      </c>
      <c r="G20" s="56"/>
      <c r="I20" s="377" t="s">
        <v>291</v>
      </c>
      <c r="J20" s="380">
        <f>L20</f>
        <v>0</v>
      </c>
      <c r="K20" s="382">
        <f>IF(D31=E23,-0.1,0)</f>
        <v>0</v>
      </c>
      <c r="L20" s="76">
        <f>IF(AND(D21="N  (Yr 2)",D22="Y"),K20,0)</f>
        <v>0</v>
      </c>
      <c r="M20" s="75"/>
      <c r="N20" s="75"/>
      <c r="O20" s="75"/>
      <c r="P20" s="76"/>
    </row>
    <row r="21" spans="1:26">
      <c r="A21" s="55"/>
      <c r="B21" s="200" t="s">
        <v>197</v>
      </c>
      <c r="C21" s="201" t="str">
        <f>'PCF Revenue Calculator'!D20</f>
        <v>Y</v>
      </c>
      <c r="D21" s="201" t="str">
        <f>'PCF Revenue Calculator'!E20</f>
        <v>Y</v>
      </c>
      <c r="E21" s="13" t="s">
        <v>175</v>
      </c>
      <c r="F21" s="207">
        <v>6.5000000000000002E-2</v>
      </c>
      <c r="G21" s="56"/>
      <c r="I21" s="377" t="s">
        <v>294</v>
      </c>
      <c r="J21" s="380">
        <f>L21</f>
        <v>0</v>
      </c>
      <c r="K21" s="382">
        <f>IF(D31=E23,-0.1,0)</f>
        <v>0</v>
      </c>
      <c r="L21" s="76">
        <f>IF(AND(D21="N  (Yr 2)",D22="N"),K21,0)</f>
        <v>0</v>
      </c>
      <c r="M21" s="75"/>
      <c r="N21" s="75"/>
      <c r="O21" s="75"/>
      <c r="P21" s="76"/>
    </row>
    <row r="22" spans="1:26">
      <c r="A22" s="55"/>
      <c r="B22" s="98" t="s">
        <v>252</v>
      </c>
      <c r="C22" s="201" t="str">
        <f>'PCF Revenue Calculator'!D21</f>
        <v>Y</v>
      </c>
      <c r="D22" s="201" t="str">
        <f>'PCF Revenue Calculator'!E21</f>
        <v>Y</v>
      </c>
      <c r="E22" s="208" t="s">
        <v>176</v>
      </c>
      <c r="F22" s="209">
        <v>0</v>
      </c>
      <c r="G22" s="56"/>
      <c r="I22" s="377" t="s">
        <v>292</v>
      </c>
      <c r="J22" s="380">
        <f>L22</f>
        <v>0</v>
      </c>
      <c r="K22" s="382">
        <f>J93</f>
        <v>-0.1</v>
      </c>
      <c r="L22" s="76">
        <f>IF(D21="N  (Yr 3)",K22,0)</f>
        <v>0</v>
      </c>
      <c r="M22" s="75"/>
      <c r="N22" s="75"/>
      <c r="O22" s="75"/>
      <c r="P22" s="76"/>
    </row>
    <row r="23" spans="1:26" ht="14" customHeight="1">
      <c r="A23" s="55"/>
      <c r="B23" s="335" t="s">
        <v>364</v>
      </c>
      <c r="C23" s="204">
        <f>F7+F8</f>
        <v>59.42</v>
      </c>
      <c r="D23" s="204">
        <f>F7+D16*0.2</f>
        <v>59.42</v>
      </c>
      <c r="E23" s="340" t="s">
        <v>171</v>
      </c>
      <c r="F23" s="210">
        <v>-0.1</v>
      </c>
      <c r="G23" s="56"/>
      <c r="I23" s="52" t="s">
        <v>189</v>
      </c>
      <c r="J23" s="380">
        <f>SUM(J16:J22)</f>
        <v>0.5</v>
      </c>
      <c r="L23" s="100">
        <f>SUM(L16:L22)</f>
        <v>0.34</v>
      </c>
      <c r="N23" s="53"/>
      <c r="P23" s="100">
        <f>SUM(P16:P20)</f>
        <v>0.16</v>
      </c>
    </row>
    <row r="24" spans="1:26" ht="16" customHeight="1">
      <c r="A24" s="55"/>
      <c r="B24" s="336" t="s">
        <v>389</v>
      </c>
      <c r="C24" s="337">
        <f>F7</f>
        <v>40.82</v>
      </c>
      <c r="D24" s="341">
        <f>F7</f>
        <v>40.82</v>
      </c>
      <c r="E24" s="211" t="s">
        <v>190</v>
      </c>
      <c r="F24" s="177"/>
      <c r="G24" s="56"/>
    </row>
    <row r="25" spans="1:26" ht="15" customHeight="1">
      <c r="A25" s="55"/>
      <c r="B25" s="334" t="s">
        <v>365</v>
      </c>
      <c r="C25" s="204">
        <f>C23*C13/12</f>
        <v>21.193133333333336</v>
      </c>
      <c r="D25" s="204">
        <f>D23*D13/12</f>
        <v>21.193133333333336</v>
      </c>
      <c r="E25" s="13" t="s">
        <v>163</v>
      </c>
      <c r="F25" s="203">
        <v>0.16</v>
      </c>
      <c r="G25" s="178"/>
      <c r="I25" s="50"/>
      <c r="J25" s="58" t="s">
        <v>41</v>
      </c>
      <c r="K25" s="58" t="s">
        <v>41</v>
      </c>
      <c r="N25" s="213"/>
    </row>
    <row r="26" spans="1:26">
      <c r="A26" s="55"/>
      <c r="B26" s="338" t="s">
        <v>384</v>
      </c>
      <c r="C26" s="342">
        <f>C24*C13/12</f>
        <v>14.559133333333335</v>
      </c>
      <c r="D26" s="342">
        <f>D24*D13/12</f>
        <v>14.559133333333335</v>
      </c>
      <c r="E26" s="13" t="s">
        <v>172</v>
      </c>
      <c r="F26" s="203">
        <v>0.13</v>
      </c>
      <c r="G26" s="56"/>
      <c r="I26" s="385" t="s">
        <v>44</v>
      </c>
      <c r="J26" s="59" t="s">
        <v>42</v>
      </c>
      <c r="K26" s="59" t="s">
        <v>43</v>
      </c>
      <c r="N26" s="213"/>
    </row>
    <row r="27" spans="1:26">
      <c r="A27" s="55"/>
      <c r="B27" s="54" t="s">
        <v>193</v>
      </c>
      <c r="C27" s="205">
        <f>IF(C14=1,$F12,IF(C14=2,$F13,IF(C14=3,$F14,IF(C14=4,$F15))))</f>
        <v>28</v>
      </c>
      <c r="D27" s="206">
        <f>IF(D14=1,$F12,IF(D14=2,$F13,IF(D14=3,$F14,IF(D14=4,$F15))))</f>
        <v>28</v>
      </c>
      <c r="E27" s="13" t="s">
        <v>173</v>
      </c>
      <c r="F27" s="203">
        <v>0.1</v>
      </c>
      <c r="G27" s="56"/>
      <c r="I27" s="386" t="s">
        <v>30</v>
      </c>
      <c r="J27" s="387">
        <f>'PCF Revenue Calculator'!D26</f>
        <v>40000</v>
      </c>
      <c r="K27" s="387">
        <f>'PCF Revenue Calculator'!E26</f>
        <v>40000</v>
      </c>
      <c r="M27" s="68" t="s">
        <v>139</v>
      </c>
      <c r="N27" s="68" t="s">
        <v>140</v>
      </c>
    </row>
    <row r="28" spans="1:26">
      <c r="A28" s="55"/>
      <c r="B28" s="339" t="s">
        <v>388</v>
      </c>
      <c r="C28" s="366">
        <f>C25+C27</f>
        <v>49.193133333333336</v>
      </c>
      <c r="D28" s="366">
        <f>D25+D27</f>
        <v>49.193133333333336</v>
      </c>
      <c r="E28" s="13" t="s">
        <v>174</v>
      </c>
      <c r="F28" s="203">
        <v>7.0000000000000007E-2</v>
      </c>
      <c r="G28" s="56"/>
      <c r="I28" s="386" t="s">
        <v>29</v>
      </c>
      <c r="J28" s="387">
        <f>'PCF Revenue Calculator'!D27</f>
        <v>10000</v>
      </c>
      <c r="K28" s="387">
        <f>'PCF Revenue Calculator'!E27</f>
        <v>10000</v>
      </c>
      <c r="M28" s="102">
        <v>-0.1</v>
      </c>
      <c r="N28" s="100">
        <v>3.5000000000000003E-2</v>
      </c>
      <c r="W28" s="50"/>
    </row>
    <row r="29" spans="1:26">
      <c r="A29" s="55"/>
      <c r="B29" s="338" t="s">
        <v>390</v>
      </c>
      <c r="C29" s="358">
        <f>C26+C27</f>
        <v>42.559133333333335</v>
      </c>
      <c r="D29" s="358">
        <f>D26+D27</f>
        <v>42.559133333333335</v>
      </c>
      <c r="E29" s="13" t="s">
        <v>175</v>
      </c>
      <c r="F29" s="215">
        <v>3.5000000000000003E-2</v>
      </c>
      <c r="G29" s="56"/>
      <c r="I29" s="386" t="s">
        <v>283</v>
      </c>
      <c r="J29" s="387">
        <f>'PCF Revenue Calculator'!D28</f>
        <v>5000</v>
      </c>
      <c r="K29" s="387">
        <f>'PCF Revenue Calculator'!E28</f>
        <v>5000</v>
      </c>
      <c r="M29" s="103">
        <v>0</v>
      </c>
      <c r="N29" s="100">
        <v>3.5000000000000003E-2</v>
      </c>
    </row>
    <row r="30" spans="1:26" ht="19">
      <c r="A30" s="55"/>
      <c r="B30" s="309" t="s">
        <v>16</v>
      </c>
      <c r="C30" s="177"/>
      <c r="D30" s="227"/>
      <c r="E30" s="208" t="s">
        <v>176</v>
      </c>
      <c r="F30" s="215">
        <v>3.5000000000000003E-2</v>
      </c>
      <c r="G30" s="56"/>
      <c r="I30" s="386" t="s">
        <v>35</v>
      </c>
      <c r="J30" s="387">
        <f>'PCF Revenue Calculator'!D29</f>
        <v>0</v>
      </c>
      <c r="K30" s="387">
        <f>'PCF Revenue Calculator'!E29</f>
        <v>0</v>
      </c>
      <c r="M30" s="76">
        <v>6.5000000000000002E-2</v>
      </c>
      <c r="N30" s="76">
        <v>3.5000000000000003E-2</v>
      </c>
    </row>
    <row r="31" spans="1:26">
      <c r="A31" s="55"/>
      <c r="B31" s="200" t="s">
        <v>183</v>
      </c>
      <c r="C31" s="74" t="str">
        <f>'PCF Revenue Calculator'!D22</f>
        <v>Top 10%</v>
      </c>
      <c r="D31" s="74" t="str">
        <f>'PCF Revenue Calculator'!E22</f>
        <v>Top 10%</v>
      </c>
      <c r="E31" s="217" t="s">
        <v>170</v>
      </c>
      <c r="F31" s="218">
        <v>3.5000000000000003E-2</v>
      </c>
      <c r="G31" s="56"/>
      <c r="I31" s="388"/>
      <c r="J31" s="387">
        <f>'PCF Revenue Calculator'!D30</f>
        <v>0</v>
      </c>
      <c r="K31" s="387">
        <f>'PCF Revenue Calculator'!E30</f>
        <v>0</v>
      </c>
      <c r="M31" s="76">
        <v>0.13</v>
      </c>
      <c r="N31" s="76">
        <v>7.0000000000000007E-2</v>
      </c>
      <c r="X31" s="50"/>
      <c r="Y31" s="50"/>
      <c r="Z31" s="50"/>
    </row>
    <row r="32" spans="1:26">
      <c r="A32" s="55"/>
      <c r="B32" s="200" t="s">
        <v>196</v>
      </c>
      <c r="C32" s="212">
        <f>IF(C31=$E17,$F17,IF(C31=$E18,$F18,IF(C31=$E19,$F19,IF(C31=$E20,$F20,IF(C31=$E21,$F21,IF(C31=$E22,$F22,IF(C31=$E23,$F23)))))))</f>
        <v>0.34</v>
      </c>
      <c r="D32" s="212">
        <f>IF(D31=$E17,$F17,IF(D31=$E18,$F18,IF(D31=$E19,$F19,IF(D31=$E20,$F20,IF(D31=$E21,$F21,IF(D31=$E22,$F22,IF(D31=$E23,$F23)))))))</f>
        <v>0.34</v>
      </c>
      <c r="E32" s="198" t="s">
        <v>132</v>
      </c>
      <c r="F32" s="219">
        <v>0</v>
      </c>
      <c r="G32" s="56"/>
      <c r="I32" s="389"/>
      <c r="J32" s="387">
        <f>'PCF Revenue Calculator'!D31</f>
        <v>0</v>
      </c>
      <c r="K32" s="387">
        <f>'PCF Revenue Calculator'!E31</f>
        <v>0</v>
      </c>
      <c r="M32" s="76">
        <v>0.2</v>
      </c>
      <c r="N32" s="76">
        <v>0.1</v>
      </c>
      <c r="O32" s="50"/>
      <c r="S32" s="50"/>
    </row>
    <row r="33" spans="1:31">
      <c r="A33" s="55"/>
      <c r="B33" s="98" t="s">
        <v>328</v>
      </c>
      <c r="C33" s="212">
        <f>L13</f>
        <v>0.34</v>
      </c>
      <c r="D33" s="212">
        <f>L23</f>
        <v>0.34</v>
      </c>
      <c r="E33" s="220" t="s">
        <v>191</v>
      </c>
      <c r="F33" s="85"/>
      <c r="G33" s="56"/>
      <c r="I33" s="390"/>
      <c r="J33" s="387">
        <f>'PCF Revenue Calculator'!D32</f>
        <v>0</v>
      </c>
      <c r="K33" s="387">
        <f>'PCF Revenue Calculator'!E32</f>
        <v>0</v>
      </c>
      <c r="M33" s="76">
        <v>0.27</v>
      </c>
      <c r="N33" s="76">
        <v>0.13</v>
      </c>
      <c r="V33" s="50"/>
    </row>
    <row r="34" spans="1:31">
      <c r="A34" s="55"/>
      <c r="B34" s="200" t="s">
        <v>184</v>
      </c>
      <c r="C34" s="214" t="str">
        <f>'PCF Revenue Calculator'!D23</f>
        <v>Top 10%</v>
      </c>
      <c r="D34" s="214" t="str">
        <f>'PCF Revenue Calculator'!E23</f>
        <v>Top 10%</v>
      </c>
      <c r="E34" s="112"/>
      <c r="F34" s="276"/>
      <c r="G34" s="275"/>
      <c r="I34" s="386" t="s">
        <v>31</v>
      </c>
      <c r="J34" s="387">
        <f>SUM(J27:J33)</f>
        <v>55000</v>
      </c>
      <c r="K34" s="387">
        <f t="shared" ref="K34" si="0">SUM(K27:K33)</f>
        <v>55000</v>
      </c>
      <c r="M34" s="76">
        <v>0.34</v>
      </c>
      <c r="N34" s="76">
        <v>0.16</v>
      </c>
      <c r="W34" s="50"/>
    </row>
    <row r="35" spans="1:31" ht="19" customHeight="1">
      <c r="A35" s="55"/>
      <c r="B35" s="54" t="s">
        <v>185</v>
      </c>
      <c r="C35" s="212">
        <f>IF(C34=$E25,$F25,IF(C34=$E26,$F26,IF(C34=$E27,$F27,IF(C34=$E28,$F28,IF(C34=$E29,$F29,IF(C34=$E30,$F30,IF(C34=$E31,$F31,IF(C34=E32,F32))))))))</f>
        <v>0.16</v>
      </c>
      <c r="D35" s="212">
        <f>IF(D34=$E25,$F25,IF(D34=$E26,$F26,IF(D34=$E27,$F27,IF(D34=$E28,$F28,IF(D34=$E29,$F29,IF(D34=$E30,$F30,IF(D34=$E31,$F31,IF(D34=E32,0))))))))</f>
        <v>0.16</v>
      </c>
      <c r="E35" s="112"/>
      <c r="F35" s="277"/>
      <c r="G35" s="223"/>
      <c r="I35" s="391"/>
      <c r="K35" s="50"/>
      <c r="L35" s="50"/>
      <c r="M35" s="68"/>
      <c r="N35" s="213"/>
      <c r="O35" s="68"/>
      <c r="U35" s="50"/>
      <c r="AA35" s="50"/>
      <c r="AB35" s="50"/>
      <c r="AC35" s="50"/>
      <c r="AD35" s="50"/>
      <c r="AE35" s="50"/>
    </row>
    <row r="36" spans="1:31" s="50" customFormat="1">
      <c r="A36" s="55"/>
      <c r="B36" s="216" t="s">
        <v>327</v>
      </c>
      <c r="C36" s="212">
        <f>P13</f>
        <v>0.16</v>
      </c>
      <c r="D36" s="212">
        <f>P23</f>
        <v>0.16</v>
      </c>
      <c r="E36" s="112"/>
      <c r="F36" s="277"/>
      <c r="G36" s="221"/>
      <c r="H36" s="281"/>
      <c r="I36" s="392" t="s">
        <v>32</v>
      </c>
      <c r="J36" s="377"/>
      <c r="K36" s="377"/>
      <c r="L36" s="69"/>
      <c r="M36" s="68"/>
      <c r="N36" s="69"/>
      <c r="O36" s="69"/>
      <c r="P36" s="69"/>
      <c r="Q36" s="69"/>
      <c r="S36" s="69"/>
      <c r="T36" s="69"/>
      <c r="U36" s="69"/>
      <c r="V36" s="69"/>
      <c r="W36" s="69"/>
      <c r="X36" s="69"/>
      <c r="Y36" s="69"/>
      <c r="Z36" s="69"/>
      <c r="AA36" s="69"/>
      <c r="AB36" s="69"/>
      <c r="AC36" s="69"/>
    </row>
    <row r="37" spans="1:31" ht="17" customHeight="1">
      <c r="A37" s="55"/>
      <c r="B37" s="334" t="s">
        <v>195</v>
      </c>
      <c r="C37" s="343">
        <f>J13</f>
        <v>0.5</v>
      </c>
      <c r="D37" s="343">
        <f>J23</f>
        <v>0.5</v>
      </c>
      <c r="E37" s="112"/>
      <c r="F37" s="277"/>
      <c r="G37" s="221"/>
      <c r="I37" s="386" t="s">
        <v>36</v>
      </c>
      <c r="J37" s="393">
        <v>0.88400000000000001</v>
      </c>
      <c r="K37" s="393">
        <v>0.88400000000000001</v>
      </c>
      <c r="V37" s="50"/>
      <c r="W37" s="50"/>
      <c r="X37" s="50"/>
    </row>
    <row r="38" spans="1:31" ht="17" thickBot="1">
      <c r="A38" s="55"/>
      <c r="B38" s="345" t="s">
        <v>391</v>
      </c>
      <c r="C38" s="357">
        <f>C29+(C29*C37)</f>
        <v>63.838700000000003</v>
      </c>
      <c r="D38" s="357">
        <f>D29+(D29*D37)</f>
        <v>63.838700000000003</v>
      </c>
      <c r="E38" s="354"/>
      <c r="F38" s="277"/>
      <c r="G38" s="221"/>
      <c r="I38" s="386" t="s">
        <v>397</v>
      </c>
      <c r="J38" s="394">
        <f>'PCF Revenue Calculator'!D10</f>
        <v>0.95</v>
      </c>
      <c r="K38" s="394">
        <f>'PCF Revenue Calculator'!E10</f>
        <v>0.95</v>
      </c>
      <c r="L38" s="224"/>
      <c r="M38" s="225"/>
      <c r="O38" s="226"/>
      <c r="P38" s="50"/>
      <c r="Q38" s="50"/>
      <c r="S38" s="50"/>
    </row>
    <row r="39" spans="1:31" ht="19">
      <c r="A39" s="55"/>
      <c r="B39" s="311" t="s">
        <v>9</v>
      </c>
      <c r="C39" s="312"/>
      <c r="D39" s="227"/>
      <c r="E39" s="112"/>
      <c r="F39" s="277"/>
      <c r="G39" s="221"/>
      <c r="I39" s="386" t="s">
        <v>102</v>
      </c>
      <c r="J39" s="394">
        <f>100%-J38</f>
        <v>5.0000000000000044E-2</v>
      </c>
      <c r="K39" s="394">
        <f t="shared" ref="K39" si="1">100%-K38</f>
        <v>5.0000000000000044E-2</v>
      </c>
      <c r="L39" s="224"/>
      <c r="M39" s="225"/>
      <c r="O39" s="226"/>
      <c r="V39" s="50"/>
    </row>
    <row r="40" spans="1:31">
      <c r="A40" s="55"/>
      <c r="B40" s="54" t="s">
        <v>375</v>
      </c>
      <c r="C40" s="292">
        <f>C8*C11</f>
        <v>2728.5</v>
      </c>
      <c r="D40" s="292">
        <f>D8*D11</f>
        <v>2728.5</v>
      </c>
      <c r="E40" s="354"/>
      <c r="F40" s="277"/>
      <c r="G40" s="221"/>
      <c r="I40" s="390" t="s">
        <v>103</v>
      </c>
      <c r="J40" s="395">
        <f>J39*C6</f>
        <v>37.500000000000036</v>
      </c>
      <c r="K40" s="395">
        <f>K39*D6</f>
        <v>37.500000000000036</v>
      </c>
      <c r="L40" s="372"/>
      <c r="M40" s="225"/>
      <c r="O40" s="226"/>
    </row>
    <row r="41" spans="1:31">
      <c r="A41" s="55"/>
      <c r="B41" s="216" t="s">
        <v>340</v>
      </c>
      <c r="C41" s="292">
        <f>C9*C13</f>
        <v>2592.0750000000003</v>
      </c>
      <c r="D41" s="292">
        <f>D9*D13</f>
        <v>2592.0750000000003</v>
      </c>
      <c r="E41" s="112"/>
      <c r="F41" s="277"/>
      <c r="G41" s="221"/>
      <c r="I41" s="386" t="s">
        <v>104</v>
      </c>
      <c r="J41" s="396">
        <f>J40*C19*12</f>
        <v>14926.500000000015</v>
      </c>
      <c r="K41" s="396">
        <f>K40*D19*12</f>
        <v>14926.500000000015</v>
      </c>
      <c r="L41" s="224"/>
      <c r="M41" s="225"/>
      <c r="O41" s="226"/>
      <c r="P41" s="68"/>
      <c r="U41" s="50"/>
      <c r="AA41" s="50"/>
      <c r="AB41" s="50"/>
      <c r="AC41" s="50"/>
      <c r="AD41" s="50"/>
      <c r="AE41" s="50"/>
    </row>
    <row r="42" spans="1:31" s="50" customFormat="1" ht="19" customHeight="1">
      <c r="A42" s="55"/>
      <c r="B42" s="54" t="s">
        <v>341</v>
      </c>
      <c r="C42" s="355">
        <f>C40*C16+J56+J62</f>
        <v>297942.18</v>
      </c>
      <c r="D42" s="355">
        <f>D40*D16+K56+K62</f>
        <v>297942.18</v>
      </c>
      <c r="E42" s="112"/>
      <c r="F42" s="277"/>
      <c r="G42" s="221"/>
      <c r="H42" s="281"/>
      <c r="I42" s="377"/>
      <c r="J42" s="377"/>
      <c r="K42" s="377"/>
      <c r="L42" s="69"/>
      <c r="M42" s="69"/>
      <c r="N42" s="69"/>
      <c r="O42" s="68"/>
      <c r="P42" s="68"/>
      <c r="Q42" s="69"/>
      <c r="R42" s="69"/>
      <c r="S42" s="69"/>
      <c r="U42" s="69"/>
      <c r="V42" s="69"/>
      <c r="W42" s="69"/>
      <c r="X42" s="69"/>
      <c r="Y42" s="69"/>
      <c r="Z42" s="69"/>
      <c r="AA42" s="69"/>
      <c r="AB42" s="69"/>
      <c r="AC42" s="69"/>
      <c r="AD42" s="69"/>
      <c r="AE42" s="69"/>
    </row>
    <row r="43" spans="1:31" ht="17">
      <c r="A43" s="55"/>
      <c r="B43" s="73" t="s">
        <v>367</v>
      </c>
      <c r="C43" s="355">
        <f>J106+J75+J58+J41</f>
        <v>552272.09030000004</v>
      </c>
      <c r="D43" s="355">
        <f>K106+K75+K58+K41</f>
        <v>552272.09030000004</v>
      </c>
      <c r="E43" s="359"/>
      <c r="F43" s="223"/>
      <c r="G43" s="223"/>
      <c r="I43" s="397" t="s">
        <v>120</v>
      </c>
      <c r="J43" s="398"/>
      <c r="P43" s="68"/>
      <c r="R43" s="50"/>
    </row>
    <row r="44" spans="1:31" ht="17">
      <c r="A44" s="55"/>
      <c r="B44" s="54" t="s">
        <v>146</v>
      </c>
      <c r="C44" s="356">
        <f>C43-C42</f>
        <v>254329.91030000005</v>
      </c>
      <c r="D44" s="356">
        <f>D43-D42</f>
        <v>254329.91030000005</v>
      </c>
      <c r="E44" s="222"/>
      <c r="F44" s="223"/>
      <c r="G44" s="223"/>
      <c r="I44" s="399" t="s">
        <v>18</v>
      </c>
      <c r="J44" s="400">
        <f>'PCF Revenue Calculator'!D24</f>
        <v>5</v>
      </c>
      <c r="K44" s="400">
        <f>'PCF Revenue Calculator'!E24</f>
        <v>5</v>
      </c>
      <c r="L44" s="326" t="s">
        <v>362</v>
      </c>
      <c r="M44" s="50"/>
      <c r="N44" s="50"/>
      <c r="O44" s="50"/>
      <c r="P44" s="68"/>
      <c r="Q44" s="50"/>
    </row>
    <row r="45" spans="1:31" ht="17">
      <c r="A45" s="61"/>
      <c r="B45" s="54" t="s">
        <v>145</v>
      </c>
      <c r="C45" s="78">
        <f>C44/C5</f>
        <v>84776.636766666677</v>
      </c>
      <c r="D45" s="78">
        <f>D44/D5</f>
        <v>84776.636766666677</v>
      </c>
      <c r="E45" s="177"/>
      <c r="F45" s="227"/>
      <c r="G45" s="227"/>
      <c r="I45" s="399" t="s">
        <v>17</v>
      </c>
      <c r="J45" s="400">
        <f>'PCF Revenue Calculator'!D25</f>
        <v>3</v>
      </c>
      <c r="K45" s="400">
        <f>'PCF Revenue Calculator'!E25</f>
        <v>3</v>
      </c>
      <c r="N45" s="69" t="s">
        <v>178</v>
      </c>
    </row>
    <row r="46" spans="1:31" ht="17">
      <c r="A46" s="228"/>
      <c r="B46" s="62"/>
      <c r="C46" s="60"/>
      <c r="D46" s="60"/>
      <c r="E46" s="228"/>
      <c r="F46" s="228"/>
      <c r="G46" s="225"/>
      <c r="I46" s="399" t="s">
        <v>19</v>
      </c>
      <c r="J46" s="401" t="str">
        <f>IF(J45=3,$J87,IF(J45=4,$J88))</f>
        <v>1.5-2.0</v>
      </c>
      <c r="K46" s="401" t="str">
        <f>IF(K45=3,$J87,IF(K45=4,$J88))</f>
        <v>1.5-2.0</v>
      </c>
    </row>
    <row r="47" spans="1:31" ht="19" customHeight="1">
      <c r="A47" s="55"/>
      <c r="B47" s="353" t="s">
        <v>371</v>
      </c>
      <c r="C47" s="77"/>
      <c r="D47" s="77"/>
      <c r="E47" s="63"/>
      <c r="F47" s="64"/>
      <c r="G47" s="64"/>
      <c r="I47" s="399" t="s">
        <v>361</v>
      </c>
      <c r="J47" s="402">
        <f>IF(J45=3,$K87,IF(J45=4,$K88))</f>
        <v>5.92</v>
      </c>
      <c r="K47" s="402">
        <f>IF(K45=3,$K87,IF(K45=4,$K88))</f>
        <v>5.92</v>
      </c>
    </row>
    <row r="48" spans="1:31" ht="18" thickBot="1">
      <c r="A48" s="55"/>
      <c r="B48" s="335" t="s">
        <v>28</v>
      </c>
      <c r="C48" s="140">
        <f>J34</f>
        <v>55000</v>
      </c>
      <c r="D48" s="140">
        <f>K34</f>
        <v>55000</v>
      </c>
      <c r="E48" s="229"/>
      <c r="F48" s="221"/>
      <c r="G48" s="221"/>
      <c r="I48" s="399" t="s">
        <v>23</v>
      </c>
      <c r="J48" s="387">
        <f>IF(J45=3,$L87,IF(J45=4,$L88))</f>
        <v>130.80000000000001</v>
      </c>
      <c r="K48" s="387">
        <f>IF(K45=3,$L87,IF(K45=4,$L88))</f>
        <v>130.80000000000001</v>
      </c>
    </row>
    <row r="49" spans="1:16" ht="17" thickBot="1">
      <c r="A49" s="55"/>
      <c r="B49" s="346" t="s">
        <v>147</v>
      </c>
      <c r="C49" s="347">
        <f>C44-C48</f>
        <v>199329.91030000005</v>
      </c>
      <c r="D49" s="348">
        <f>D44-D48</f>
        <v>199329.91030000005</v>
      </c>
      <c r="E49" s="177"/>
      <c r="F49" s="221"/>
      <c r="G49" s="221"/>
      <c r="I49" s="403" t="s">
        <v>398</v>
      </c>
      <c r="J49" s="404">
        <f>C38</f>
        <v>63.838700000000003</v>
      </c>
      <c r="K49" s="404">
        <f>D38</f>
        <v>63.838700000000003</v>
      </c>
      <c r="L49" s="326"/>
      <c r="M49" s="268"/>
      <c r="O49" s="268"/>
      <c r="P49" s="268"/>
    </row>
    <row r="50" spans="1:16" ht="17" thickBot="1">
      <c r="A50" s="231"/>
      <c r="B50" s="232"/>
      <c r="C50" s="233"/>
      <c r="D50" s="233"/>
      <c r="E50" s="233"/>
      <c r="F50" s="234"/>
      <c r="G50" s="234"/>
      <c r="I50" s="405" t="s">
        <v>400</v>
      </c>
      <c r="J50" s="406">
        <f>J44*J49</f>
        <v>319.19350000000003</v>
      </c>
      <c r="K50" s="406">
        <f>K44*K49</f>
        <v>319.19350000000003</v>
      </c>
      <c r="L50" s="326"/>
      <c r="M50" s="268"/>
      <c r="O50" s="268"/>
      <c r="P50" s="268"/>
    </row>
    <row r="51" spans="1:16" ht="19">
      <c r="A51" s="137"/>
      <c r="D51" s="66"/>
      <c r="E51" s="236"/>
      <c r="F51" s="225"/>
      <c r="G51" s="225"/>
      <c r="I51" s="391" t="s">
        <v>399</v>
      </c>
      <c r="J51" s="406">
        <f>J50*12</f>
        <v>3830.3220000000001</v>
      </c>
      <c r="K51" s="406">
        <f>K50*12</f>
        <v>3830.3220000000001</v>
      </c>
      <c r="L51" s="326"/>
      <c r="M51" s="268"/>
      <c r="O51" s="268"/>
      <c r="P51" s="268"/>
    </row>
    <row r="52" spans="1:16">
      <c r="A52" s="137"/>
      <c r="D52" s="67"/>
      <c r="E52" s="67"/>
      <c r="F52" s="67"/>
      <c r="G52" s="67"/>
      <c r="I52" s="407" t="s">
        <v>402</v>
      </c>
      <c r="J52" s="406">
        <f>J44*C13*$F$8/12</f>
        <v>33.170000000000009</v>
      </c>
      <c r="K52" s="406">
        <f>K44*D13*D16*0.2/12</f>
        <v>33.170000000000009</v>
      </c>
      <c r="L52" s="326"/>
      <c r="M52" s="268"/>
      <c r="O52" s="268"/>
      <c r="P52" s="268"/>
    </row>
    <row r="53" spans="1:16">
      <c r="A53" s="137"/>
      <c r="D53" s="225"/>
      <c r="E53" s="225"/>
      <c r="F53" s="225"/>
      <c r="G53" s="225"/>
      <c r="I53" s="407" t="s">
        <v>401</v>
      </c>
      <c r="J53" s="387">
        <f>J44*C13*F8</f>
        <v>398.04000000000008</v>
      </c>
      <c r="K53" s="387">
        <f>K44*D13*D16*0.2</f>
        <v>398.04000000000008</v>
      </c>
      <c r="L53" s="326"/>
      <c r="M53" s="268"/>
      <c r="O53" s="268"/>
      <c r="P53" s="268"/>
    </row>
    <row r="54" spans="1:16">
      <c r="A54" s="137"/>
      <c r="D54" s="225"/>
      <c r="E54" s="236"/>
      <c r="F54" s="225"/>
      <c r="G54" s="225"/>
      <c r="I54" s="403" t="s">
        <v>275</v>
      </c>
      <c r="J54" s="404">
        <v>42</v>
      </c>
      <c r="K54" s="404">
        <v>42</v>
      </c>
      <c r="O54" s="268"/>
      <c r="P54" s="268"/>
    </row>
    <row r="55" spans="1:16">
      <c r="A55" s="137"/>
      <c r="E55" s="236"/>
      <c r="F55" s="225"/>
      <c r="G55" s="225"/>
      <c r="I55" s="403" t="s">
        <v>24</v>
      </c>
      <c r="J55" s="387">
        <f>(J44*J47*J48/12)+(J54*J44)</f>
        <v>532.6400000000001</v>
      </c>
      <c r="K55" s="387">
        <f>(K44*K47*K48/12)+(K54*K44)</f>
        <v>532.6400000000001</v>
      </c>
    </row>
    <row r="56" spans="1:16">
      <c r="A56" s="137"/>
      <c r="E56" s="236"/>
      <c r="F56" s="225"/>
      <c r="G56" s="225"/>
      <c r="I56" s="403" t="s">
        <v>25</v>
      </c>
      <c r="J56" s="387">
        <f>J55*12</f>
        <v>6391.6800000000012</v>
      </c>
      <c r="K56" s="387">
        <f>K55*12</f>
        <v>6391.6800000000012</v>
      </c>
    </row>
    <row r="57" spans="1:16">
      <c r="A57" s="137"/>
      <c r="E57" s="237"/>
      <c r="F57" s="225"/>
      <c r="G57" s="225"/>
      <c r="I57" s="403" t="s">
        <v>403</v>
      </c>
      <c r="J57" s="387">
        <f>J50+J52</f>
        <v>352.36350000000004</v>
      </c>
      <c r="K57" s="387">
        <f>K50+K52</f>
        <v>352.36350000000004</v>
      </c>
    </row>
    <row r="58" spans="1:16">
      <c r="A58" s="137"/>
      <c r="E58" s="225"/>
      <c r="F58" s="225"/>
      <c r="G58" s="225"/>
      <c r="I58" s="403" t="s">
        <v>404</v>
      </c>
      <c r="J58" s="406">
        <f>J51+J53</f>
        <v>4228.3620000000001</v>
      </c>
      <c r="K58" s="406">
        <f>K51+K53</f>
        <v>4228.3620000000001</v>
      </c>
      <c r="L58" s="268"/>
      <c r="M58" s="268"/>
    </row>
    <row r="59" spans="1:16">
      <c r="A59" s="137"/>
      <c r="E59" s="225"/>
      <c r="F59" s="225"/>
      <c r="G59" s="225"/>
      <c r="I59" s="408" t="s">
        <v>26</v>
      </c>
      <c r="J59" s="406">
        <f>J55-J57</f>
        <v>180.27650000000006</v>
      </c>
      <c r="K59" s="406">
        <f t="shared" ref="K59:K60" si="2">K55-K57</f>
        <v>180.27650000000006</v>
      </c>
      <c r="L59" s="268"/>
      <c r="M59" s="268"/>
    </row>
    <row r="60" spans="1:16">
      <c r="A60" s="137"/>
      <c r="E60" s="225"/>
      <c r="F60" s="225"/>
      <c r="G60" s="225"/>
      <c r="I60" s="408" t="s">
        <v>27</v>
      </c>
      <c r="J60" s="406">
        <f>J56-J58</f>
        <v>2163.3180000000011</v>
      </c>
      <c r="K60" s="406">
        <f t="shared" si="2"/>
        <v>2163.3180000000011</v>
      </c>
      <c r="L60" s="268"/>
    </row>
    <row r="61" spans="1:16">
      <c r="A61" s="137"/>
      <c r="B61" s="225"/>
      <c r="E61" s="230"/>
      <c r="F61" s="225"/>
      <c r="G61" s="225"/>
      <c r="I61" s="403"/>
      <c r="J61" s="409"/>
      <c r="K61" s="409"/>
      <c r="N61" s="268"/>
    </row>
    <row r="62" spans="1:16">
      <c r="A62" s="137"/>
      <c r="B62" s="225"/>
      <c r="E62" s="230"/>
      <c r="F62" s="225"/>
      <c r="G62" s="225"/>
      <c r="I62" s="392" t="s">
        <v>137</v>
      </c>
      <c r="J62" s="410">
        <f>C18</f>
        <v>37800</v>
      </c>
      <c r="K62" s="410">
        <f>D18</f>
        <v>37800</v>
      </c>
    </row>
    <row r="63" spans="1:16">
      <c r="A63" s="137"/>
      <c r="B63" s="225"/>
      <c r="E63" s="230"/>
      <c r="F63" s="225"/>
      <c r="G63" s="225"/>
      <c r="I63" s="403"/>
      <c r="J63" s="409"/>
      <c r="K63" s="409"/>
    </row>
    <row r="64" spans="1:16">
      <c r="A64" s="137"/>
      <c r="B64" s="225"/>
      <c r="C64" s="225"/>
      <c r="D64" s="225"/>
      <c r="E64" s="230"/>
      <c r="F64" s="225"/>
      <c r="G64" s="225"/>
      <c r="I64" s="392" t="s">
        <v>117</v>
      </c>
      <c r="J64" s="411" t="s">
        <v>116</v>
      </c>
      <c r="K64" s="409"/>
    </row>
    <row r="65" spans="1:14">
      <c r="A65" s="238"/>
      <c r="B65" s="225"/>
      <c r="C65" s="225"/>
      <c r="D65" s="225"/>
      <c r="E65" s="230"/>
      <c r="F65" s="225"/>
      <c r="G65" s="225"/>
      <c r="I65" s="403" t="s">
        <v>122</v>
      </c>
      <c r="J65" s="395">
        <f>'PCF Revenue Calculator'!D57</f>
        <v>5</v>
      </c>
      <c r="K65" s="395">
        <f>'PCF Revenue Calculator'!E57</f>
        <v>5</v>
      </c>
      <c r="M65" s="59"/>
    </row>
    <row r="66" spans="1:14">
      <c r="A66" s="235"/>
      <c r="B66" s="225"/>
      <c r="C66" s="225"/>
      <c r="D66" s="225"/>
      <c r="E66" s="230"/>
      <c r="F66" s="225"/>
      <c r="G66" s="225"/>
      <c r="I66" s="412" t="s">
        <v>270</v>
      </c>
      <c r="J66" s="401" t="str">
        <f>'PCF Revenue Calculator'!D58</f>
        <v>Y</v>
      </c>
      <c r="K66" s="401" t="str">
        <f>'PCF Revenue Calculator'!E58</f>
        <v>Y</v>
      </c>
      <c r="L66" s="69" t="s">
        <v>271</v>
      </c>
      <c r="M66" s="59"/>
    </row>
    <row r="67" spans="1:14">
      <c r="A67" s="235"/>
      <c r="B67" s="225"/>
      <c r="C67" s="225"/>
      <c r="D67" s="225"/>
      <c r="E67" s="230"/>
      <c r="F67" s="225"/>
      <c r="G67" s="225"/>
      <c r="I67" s="403" t="s">
        <v>121</v>
      </c>
      <c r="J67" s="401" t="str">
        <f>'PCF Revenue Calculator'!D59</f>
        <v>High</v>
      </c>
      <c r="K67" s="401" t="str">
        <f>'PCF Revenue Calculator'!E59</f>
        <v>High</v>
      </c>
      <c r="L67" s="68" t="s">
        <v>221</v>
      </c>
      <c r="M67" s="68" t="s">
        <v>219</v>
      </c>
      <c r="N67" s="68" t="s">
        <v>220</v>
      </c>
    </row>
    <row r="68" spans="1:14" ht="15" customHeight="1">
      <c r="A68" s="235"/>
      <c r="B68" s="225"/>
      <c r="C68" s="237"/>
      <c r="D68" s="237"/>
      <c r="E68" s="367"/>
      <c r="F68" s="225"/>
      <c r="G68" s="225"/>
      <c r="I68" s="403" t="s">
        <v>118</v>
      </c>
      <c r="J68" s="406">
        <v>325</v>
      </c>
      <c r="K68" s="406">
        <v>325</v>
      </c>
      <c r="L68" s="65">
        <v>100</v>
      </c>
      <c r="M68" s="239">
        <v>50</v>
      </c>
      <c r="N68" s="65">
        <v>0</v>
      </c>
    </row>
    <row r="69" spans="1:14">
      <c r="A69" s="235"/>
      <c r="B69" s="225"/>
      <c r="C69" s="225"/>
      <c r="D69" s="225"/>
      <c r="E69" s="367"/>
      <c r="F69" s="225"/>
      <c r="G69" s="225"/>
      <c r="I69" s="403" t="s">
        <v>194</v>
      </c>
      <c r="J69" s="406">
        <f>J65*C23*$K88</f>
        <v>2242.5108</v>
      </c>
      <c r="K69" s="406">
        <f>K65*D23*$K88</f>
        <v>2242.5108</v>
      </c>
      <c r="L69" s="113" t="s">
        <v>222</v>
      </c>
    </row>
    <row r="70" spans="1:14" ht="16" customHeight="1">
      <c r="A70" s="235"/>
      <c r="B70" s="225"/>
      <c r="C70" s="225"/>
      <c r="D70" s="225"/>
      <c r="E70" s="230"/>
      <c r="F70" s="225"/>
      <c r="G70" s="225"/>
      <c r="I70" s="403" t="s">
        <v>119</v>
      </c>
      <c r="J70" s="406">
        <v>275</v>
      </c>
      <c r="K70" s="406">
        <v>275</v>
      </c>
    </row>
    <row r="71" spans="1:14">
      <c r="A71" s="235"/>
      <c r="B71" s="225"/>
      <c r="C71" s="225"/>
      <c r="D71" s="225"/>
      <c r="E71" s="230"/>
      <c r="F71" s="225"/>
      <c r="G71" s="225"/>
      <c r="I71" s="403" t="s">
        <v>224</v>
      </c>
      <c r="J71" s="406">
        <v>225</v>
      </c>
      <c r="K71" s="406">
        <v>225</v>
      </c>
    </row>
    <row r="72" spans="1:14">
      <c r="A72" s="235"/>
      <c r="B72" s="225"/>
      <c r="C72" s="225"/>
      <c r="D72" s="225"/>
      <c r="F72" s="225"/>
      <c r="G72" s="225"/>
      <c r="I72" s="403" t="s">
        <v>223</v>
      </c>
      <c r="J72" s="387">
        <f>IF(J67="High",$L68,IF(J67="Satisfactory",$M68,IF(J67="Low",$N68)))</f>
        <v>100</v>
      </c>
      <c r="K72" s="387">
        <f>IF(K67="High",$L68,IF(K67="Satisfactory",$M68,IF(K67="Low",$N68)))</f>
        <v>100</v>
      </c>
      <c r="L72" s="69" t="s">
        <v>225</v>
      </c>
    </row>
    <row r="73" spans="1:14">
      <c r="A73" s="235"/>
      <c r="B73" s="225"/>
      <c r="C73" s="225"/>
      <c r="D73" s="225"/>
      <c r="E73" s="230"/>
      <c r="F73" s="225"/>
      <c r="G73" s="225"/>
      <c r="I73" s="403" t="s">
        <v>123</v>
      </c>
      <c r="J73" s="387">
        <f>IF(J66="Y",J71+J72,J71)</f>
        <v>325</v>
      </c>
      <c r="K73" s="387">
        <f>IF(K66="Y",K71+K72,K71)</f>
        <v>325</v>
      </c>
      <c r="L73" s="69" t="s">
        <v>226</v>
      </c>
    </row>
    <row r="74" spans="1:14">
      <c r="A74" s="235"/>
      <c r="B74" s="225"/>
      <c r="C74" s="225"/>
      <c r="D74" s="225"/>
      <c r="E74" s="230"/>
      <c r="F74" s="225"/>
      <c r="G74" s="225"/>
      <c r="I74" s="408" t="s">
        <v>124</v>
      </c>
      <c r="J74" s="406">
        <f>(J65*J68/12)+(J65*J73)+(J69/12)</f>
        <v>1947.2925666666667</v>
      </c>
      <c r="K74" s="406">
        <f>(K65*K68/12)+(K65*K73)+(K69/12)</f>
        <v>1947.2925666666667</v>
      </c>
    </row>
    <row r="75" spans="1:14">
      <c r="A75" s="235"/>
      <c r="B75" s="225"/>
      <c r="C75" s="225"/>
      <c r="D75" s="225"/>
      <c r="E75" s="225"/>
      <c r="F75" s="225"/>
      <c r="G75" s="225"/>
      <c r="I75" s="408" t="s">
        <v>125</v>
      </c>
      <c r="J75" s="413">
        <f>J74*12</f>
        <v>23367.5108</v>
      </c>
      <c r="K75" s="413">
        <f t="shared" ref="K75" si="3">K74*12</f>
        <v>23367.5108</v>
      </c>
      <c r="L75" s="240"/>
      <c r="M75" s="240"/>
      <c r="N75" s="240"/>
    </row>
    <row r="76" spans="1:14">
      <c r="A76" s="235"/>
      <c r="B76" s="225"/>
      <c r="C76" s="225"/>
      <c r="D76" s="225"/>
      <c r="E76" s="225"/>
      <c r="F76" s="225"/>
      <c r="G76" s="225"/>
      <c r="I76" s="403"/>
      <c r="J76" s="409"/>
      <c r="K76" s="409"/>
    </row>
    <row r="77" spans="1:14">
      <c r="A77" s="235"/>
      <c r="B77" s="225"/>
      <c r="C77" s="225"/>
      <c r="D77" s="225"/>
      <c r="E77" s="225"/>
      <c r="F77" s="225"/>
      <c r="G77" s="225"/>
      <c r="I77" s="414" t="s">
        <v>74</v>
      </c>
      <c r="J77" s="415" t="s">
        <v>42</v>
      </c>
      <c r="K77" s="415" t="s">
        <v>43</v>
      </c>
    </row>
    <row r="78" spans="1:14">
      <c r="A78" s="235"/>
      <c r="B78" s="225"/>
      <c r="C78" s="225"/>
      <c r="D78" s="225"/>
      <c r="E78" s="225"/>
      <c r="F78" s="225"/>
      <c r="G78" s="225"/>
      <c r="I78" s="411" t="s">
        <v>76</v>
      </c>
      <c r="J78" s="416">
        <f>C6*C13</f>
        <v>3210</v>
      </c>
      <c r="K78" s="416">
        <f>D6*D13</f>
        <v>3210</v>
      </c>
    </row>
    <row r="79" spans="1:14">
      <c r="B79" s="225"/>
      <c r="C79" s="225"/>
      <c r="D79" s="225"/>
      <c r="E79" s="225"/>
      <c r="F79" s="225"/>
      <c r="I79" s="411" t="s">
        <v>77</v>
      </c>
      <c r="J79" s="417">
        <f>'PCF Revenue Calculator'!D12</f>
        <v>0.15</v>
      </c>
      <c r="K79" s="417">
        <f>'PCF Revenue Calculator'!E12</f>
        <v>0.15</v>
      </c>
      <c r="L79" s="69" t="s">
        <v>78</v>
      </c>
    </row>
    <row r="80" spans="1:14">
      <c r="C80" s="225"/>
      <c r="D80" s="225"/>
      <c r="E80" s="225"/>
      <c r="I80" s="411" t="s">
        <v>227</v>
      </c>
      <c r="J80" s="418">
        <f>J78-(J79*J78)</f>
        <v>2728.5</v>
      </c>
      <c r="K80" s="418">
        <f t="shared" ref="K80" si="4">K78-(K79*K78)</f>
        <v>2728.5</v>
      </c>
    </row>
    <row r="81" spans="9:23">
      <c r="I81" s="411" t="s">
        <v>75</v>
      </c>
      <c r="J81" s="419">
        <f>100%-J79</f>
        <v>0.85</v>
      </c>
      <c r="K81" s="419">
        <f t="shared" ref="K81" si="5">100%-K79</f>
        <v>0.85</v>
      </c>
      <c r="L81" s="69" t="s">
        <v>129</v>
      </c>
    </row>
    <row r="83" spans="9:23">
      <c r="I83" s="392" t="s">
        <v>40</v>
      </c>
      <c r="S83" s="50" t="s">
        <v>150</v>
      </c>
      <c r="U83" s="68" t="s">
        <v>155</v>
      </c>
      <c r="V83" s="68" t="s">
        <v>154</v>
      </c>
      <c r="W83" s="68" t="s">
        <v>246</v>
      </c>
    </row>
    <row r="84" spans="9:23">
      <c r="I84" s="420" t="s">
        <v>249</v>
      </c>
      <c r="J84" s="421" t="s">
        <v>19</v>
      </c>
      <c r="K84" s="421" t="s">
        <v>210</v>
      </c>
      <c r="L84" s="241" t="s">
        <v>230</v>
      </c>
      <c r="M84" s="241" t="s">
        <v>360</v>
      </c>
      <c r="O84" s="242" t="s">
        <v>228</v>
      </c>
      <c r="P84" s="68" t="s">
        <v>229</v>
      </c>
      <c r="Q84" s="68" t="s">
        <v>230</v>
      </c>
      <c r="S84" s="243" t="s">
        <v>152</v>
      </c>
      <c r="T84" s="243" t="s">
        <v>109</v>
      </c>
      <c r="U84" s="243" t="s">
        <v>169</v>
      </c>
      <c r="V84" s="243" t="s">
        <v>153</v>
      </c>
      <c r="W84" s="243" t="s">
        <v>208</v>
      </c>
    </row>
    <row r="85" spans="9:23">
      <c r="I85" s="422">
        <v>1</v>
      </c>
      <c r="J85" s="423" t="s">
        <v>151</v>
      </c>
      <c r="K85" s="424">
        <v>4.28</v>
      </c>
      <c r="L85" s="195">
        <f>O85+P85</f>
        <v>54</v>
      </c>
      <c r="M85" s="103">
        <v>99212</v>
      </c>
      <c r="O85" s="65">
        <v>45</v>
      </c>
      <c r="P85" s="244">
        <f>O85*0.2</f>
        <v>9</v>
      </c>
      <c r="Q85" s="195">
        <f>O85+P85</f>
        <v>54</v>
      </c>
      <c r="S85" s="69" t="s">
        <v>151</v>
      </c>
      <c r="T85" s="245">
        <v>28</v>
      </c>
      <c r="U85" s="245">
        <v>21</v>
      </c>
      <c r="V85" s="240">
        <f>T85+U85</f>
        <v>49</v>
      </c>
      <c r="W85" s="246">
        <f>U85*12/58.82</f>
        <v>4.2842570554233257</v>
      </c>
    </row>
    <row r="86" spans="9:23">
      <c r="I86" s="422">
        <v>2</v>
      </c>
      <c r="J86" s="423" t="s">
        <v>20</v>
      </c>
      <c r="K86" s="424">
        <v>5.3</v>
      </c>
      <c r="L86" s="195">
        <f>O86+P86</f>
        <v>88.8</v>
      </c>
      <c r="M86" s="103">
        <v>99213</v>
      </c>
      <c r="O86" s="65">
        <v>74</v>
      </c>
      <c r="P86" s="244">
        <f>O86*0.2</f>
        <v>14.8</v>
      </c>
      <c r="Q86" s="195">
        <f t="shared" ref="Q86:Q88" si="6">O86+P86</f>
        <v>88.8</v>
      </c>
      <c r="S86" s="69" t="s">
        <v>20</v>
      </c>
      <c r="T86" s="245">
        <v>45</v>
      </c>
      <c r="U86" s="245">
        <v>26</v>
      </c>
      <c r="V86" s="240">
        <f t="shared" ref="V86:V88" si="7">T86+U86</f>
        <v>71</v>
      </c>
      <c r="W86" s="246">
        <f>U86*12/58.82</f>
        <v>5.3043182590955453</v>
      </c>
    </row>
    <row r="87" spans="9:23">
      <c r="I87" s="422">
        <v>3</v>
      </c>
      <c r="J87" s="423" t="s">
        <v>21</v>
      </c>
      <c r="K87" s="424">
        <v>5.92</v>
      </c>
      <c r="L87" s="195">
        <f>O87+P87</f>
        <v>130.80000000000001</v>
      </c>
      <c r="M87" s="103">
        <v>99214</v>
      </c>
      <c r="O87" s="65">
        <v>109</v>
      </c>
      <c r="P87" s="244">
        <f>O87*0.2</f>
        <v>21.8</v>
      </c>
      <c r="Q87" s="195">
        <f t="shared" si="6"/>
        <v>130.80000000000001</v>
      </c>
      <c r="S87" s="69" t="s">
        <v>21</v>
      </c>
      <c r="T87" s="245">
        <v>100</v>
      </c>
      <c r="U87" s="245">
        <v>29</v>
      </c>
      <c r="V87" s="240">
        <f t="shared" si="7"/>
        <v>129</v>
      </c>
      <c r="W87" s="246">
        <f>U87*12/58.82</f>
        <v>5.9163549812988778</v>
      </c>
    </row>
    <row r="88" spans="9:23">
      <c r="I88" s="422">
        <v>4</v>
      </c>
      <c r="J88" s="423" t="s">
        <v>22</v>
      </c>
      <c r="K88" s="424">
        <v>7.548</v>
      </c>
      <c r="L88" s="195">
        <f>O88+P88</f>
        <v>177.6</v>
      </c>
      <c r="M88" s="103">
        <v>99215</v>
      </c>
      <c r="O88" s="65">
        <v>148</v>
      </c>
      <c r="P88" s="244">
        <f>O88*0.2</f>
        <v>29.6</v>
      </c>
      <c r="Q88" s="195">
        <f t="shared" si="6"/>
        <v>177.6</v>
      </c>
      <c r="S88" s="69" t="s">
        <v>22</v>
      </c>
      <c r="T88" s="245">
        <v>175</v>
      </c>
      <c r="U88" s="245">
        <v>37</v>
      </c>
      <c r="V88" s="240">
        <f t="shared" si="7"/>
        <v>212</v>
      </c>
      <c r="W88" s="246">
        <f>U88*12/58.82</f>
        <v>7.5484529071744308</v>
      </c>
    </row>
    <row r="89" spans="9:23">
      <c r="I89" s="422"/>
      <c r="K89" s="377" t="s">
        <v>212</v>
      </c>
      <c r="T89" s="69" t="s">
        <v>211</v>
      </c>
    </row>
    <row r="90" spans="9:23">
      <c r="I90" s="422"/>
      <c r="J90" s="391"/>
      <c r="K90" s="425"/>
      <c r="T90" s="247" t="s">
        <v>209</v>
      </c>
      <c r="W90" s="111">
        <f>40.82+18</f>
        <v>58.82</v>
      </c>
    </row>
    <row r="91" spans="9:23">
      <c r="I91" s="426" t="s">
        <v>14</v>
      </c>
      <c r="J91" s="50" t="s">
        <v>180</v>
      </c>
    </row>
    <row r="92" spans="9:23">
      <c r="I92" s="377" t="s">
        <v>181</v>
      </c>
      <c r="J92" s="419">
        <v>0</v>
      </c>
      <c r="T92" s="268"/>
    </row>
    <row r="93" spans="9:23">
      <c r="I93" s="377" t="s">
        <v>182</v>
      </c>
      <c r="J93" s="393">
        <v>-0.1</v>
      </c>
    </row>
    <row r="95" spans="9:23">
      <c r="L95" s="225"/>
    </row>
    <row r="96" spans="9:23">
      <c r="I96" s="426" t="s">
        <v>15</v>
      </c>
      <c r="J96" s="395" t="s">
        <v>10</v>
      </c>
      <c r="K96" s="395" t="s">
        <v>200</v>
      </c>
      <c r="L96" s="103" t="s">
        <v>198</v>
      </c>
      <c r="M96" s="103" t="s">
        <v>199</v>
      </c>
    </row>
    <row r="97" spans="9:11">
      <c r="J97" s="395" t="s">
        <v>10</v>
      </c>
      <c r="K97" s="395" t="s">
        <v>231</v>
      </c>
    </row>
    <row r="99" spans="9:11">
      <c r="I99" s="427" t="s">
        <v>366</v>
      </c>
    </row>
    <row r="100" spans="9:11">
      <c r="I100" s="428" t="s">
        <v>376</v>
      </c>
      <c r="J100" s="429">
        <f>C27+C26</f>
        <v>42.559133333333335</v>
      </c>
      <c r="K100" s="429">
        <f>D27+D26</f>
        <v>42.559133333333335</v>
      </c>
    </row>
    <row r="101" spans="9:11">
      <c r="I101" s="428" t="s">
        <v>377</v>
      </c>
      <c r="J101" s="430">
        <f>J100+J100*C37</f>
        <v>63.838700000000003</v>
      </c>
      <c r="K101" s="430">
        <f>K100+K100*D37</f>
        <v>63.838700000000003</v>
      </c>
    </row>
    <row r="102" spans="9:11">
      <c r="I102" s="428" t="s">
        <v>378</v>
      </c>
      <c r="J102" s="406">
        <f>J101*C9*12</f>
        <v>463947.75225000002</v>
      </c>
      <c r="K102" s="406">
        <f>K101*D9*12</f>
        <v>463947.75225000002</v>
      </c>
    </row>
    <row r="103" spans="9:11">
      <c r="I103" s="428" t="s">
        <v>374</v>
      </c>
      <c r="J103" s="387">
        <f>$F$8*C41</f>
        <v>48212.595000000008</v>
      </c>
      <c r="K103" s="387">
        <f>D16*0.2*D41</f>
        <v>48212.595000000008</v>
      </c>
    </row>
    <row r="104" spans="9:11">
      <c r="I104" s="377" t="s">
        <v>373</v>
      </c>
      <c r="J104" s="419">
        <f>'PCF Revenue Calculator'!D13</f>
        <v>0.05</v>
      </c>
      <c r="K104" s="419">
        <f>'PCF Revenue Calculator'!E13</f>
        <v>0.05</v>
      </c>
    </row>
    <row r="105" spans="9:11">
      <c r="I105" s="428" t="s">
        <v>406</v>
      </c>
      <c r="J105" s="387">
        <f>J103-(J103*J104)</f>
        <v>45801.965250000008</v>
      </c>
      <c r="K105" s="387">
        <f>K103-(K103*K104)</f>
        <v>45801.965250000008</v>
      </c>
    </row>
    <row r="106" spans="9:11">
      <c r="I106" s="428" t="s">
        <v>372</v>
      </c>
      <c r="J106" s="406">
        <f>J102+J105</f>
        <v>509749.71750000003</v>
      </c>
      <c r="K106" s="406">
        <f>K102+K105</f>
        <v>509749.71750000003</v>
      </c>
    </row>
    <row r="108" spans="9:11">
      <c r="I108" s="431" t="s">
        <v>379</v>
      </c>
    </row>
    <row r="109" spans="9:11">
      <c r="I109" s="432" t="s">
        <v>380</v>
      </c>
      <c r="J109" s="418">
        <f>C9*C13</f>
        <v>2592.0750000000003</v>
      </c>
      <c r="K109" s="418">
        <f>D9*D13</f>
        <v>2592.0750000000003</v>
      </c>
    </row>
    <row r="110" spans="9:11">
      <c r="I110" s="432" t="s">
        <v>381</v>
      </c>
      <c r="J110" s="418">
        <f>J109*(100%-C10)</f>
        <v>2462.4712500000001</v>
      </c>
      <c r="K110" s="418">
        <f>K109*(100%-D10)</f>
        <v>2462.4712500000001</v>
      </c>
    </row>
    <row r="111" spans="9:11">
      <c r="I111" s="432" t="s">
        <v>405</v>
      </c>
      <c r="J111" s="418">
        <f>J109*C10</f>
        <v>129.60375000000002</v>
      </c>
      <c r="K111" s="418">
        <f>K109*D10</f>
        <v>129.60375000000002</v>
      </c>
    </row>
    <row r="112" spans="9:11">
      <c r="I112" s="432" t="s">
        <v>385</v>
      </c>
      <c r="J112" s="387">
        <f>J109*C24</f>
        <v>105808.50150000001</v>
      </c>
      <c r="K112" s="387">
        <f>K109*D24</f>
        <v>105808.50150000001</v>
      </c>
    </row>
    <row r="113" spans="9:11">
      <c r="I113" s="432" t="s">
        <v>386</v>
      </c>
      <c r="J113" s="387">
        <f>J112+(J112*C37)</f>
        <v>158712.75225000002</v>
      </c>
      <c r="K113" s="387">
        <f>K112+(K112*D37)</f>
        <v>158712.75225000002</v>
      </c>
    </row>
    <row r="114" spans="9:11">
      <c r="I114" s="403" t="s">
        <v>414</v>
      </c>
      <c r="J114" s="387">
        <f>J105</f>
        <v>45801.965250000008</v>
      </c>
      <c r="K114" s="387">
        <f>K105</f>
        <v>45801.965250000008</v>
      </c>
    </row>
    <row r="115" spans="9:11">
      <c r="I115" s="373" t="s">
        <v>407</v>
      </c>
      <c r="J115" s="374">
        <f>J114+J113</f>
        <v>204514.71750000003</v>
      </c>
      <c r="K115" s="374">
        <f>K114+K113</f>
        <v>204514.71750000003</v>
      </c>
    </row>
    <row r="116" spans="9:11">
      <c r="I116" s="432" t="s">
        <v>382</v>
      </c>
      <c r="J116" s="418">
        <f>C9</f>
        <v>605.625</v>
      </c>
      <c r="K116" s="418">
        <f>D9</f>
        <v>605.625</v>
      </c>
    </row>
    <row r="117" spans="9:11">
      <c r="I117" s="432" t="s">
        <v>410</v>
      </c>
      <c r="J117" s="406">
        <f>J116*C27*12</f>
        <v>203490</v>
      </c>
      <c r="K117" s="406">
        <f>K116*D27*12</f>
        <v>203490</v>
      </c>
    </row>
    <row r="118" spans="9:11">
      <c r="I118" s="373" t="s">
        <v>409</v>
      </c>
      <c r="J118" s="375">
        <f>J117+(J117*C37)</f>
        <v>305235</v>
      </c>
      <c r="K118" s="375">
        <f>K117+(K117*D37)</f>
        <v>305235</v>
      </c>
    </row>
    <row r="119" spans="9:11">
      <c r="I119" s="432" t="s">
        <v>408</v>
      </c>
      <c r="J119" s="406">
        <f>J118+J115</f>
        <v>509749.71750000003</v>
      </c>
      <c r="K119" s="406">
        <f>K118+K115</f>
        <v>509749.71750000003</v>
      </c>
    </row>
    <row r="120" spans="9:11">
      <c r="I120" s="373" t="s">
        <v>383</v>
      </c>
      <c r="J120" s="355">
        <f>J119+J75+J58+J41</f>
        <v>552272.09030000004</v>
      </c>
      <c r="K120" s="355">
        <f>K119+K75+K58+K41</f>
        <v>552272.09030000004</v>
      </c>
    </row>
  </sheetData>
  <sheetProtection sheet="1" objects="1" scenarios="1" selectLockedCells="1" selectUnlockedCells="1"/>
  <mergeCells count="3">
    <mergeCell ref="B1:F1"/>
    <mergeCell ref="E3:F3"/>
    <mergeCell ref="J3:L3"/>
  </mergeCells>
  <dataValidations count="4">
    <dataValidation type="list" allowBlank="1" showInputMessage="1" showErrorMessage="1" sqref="C14:D14" xr:uid="{B18DCC09-4A53-664F-9866-6155B2FDFABC}">
      <formula1>$I$85:$I$88</formula1>
    </dataValidation>
    <dataValidation type="list" allowBlank="1" showInputMessage="1" showErrorMessage="1" sqref="J67:K67" xr:uid="{C28C9C71-FFEE-BC4E-A9DD-4C86029803F4}">
      <formula1>$L$67:$N$67</formula1>
    </dataValidation>
    <dataValidation type="list" allowBlank="1" showInputMessage="1" showErrorMessage="1" sqref="J45:K45" xr:uid="{F230EAD5-39EB-6442-9370-E2010BE785FC}">
      <formula1>$I$87:$I$88</formula1>
    </dataValidation>
    <dataValidation type="list" allowBlank="1" showInputMessage="1" showErrorMessage="1" sqref="J66:K66" xr:uid="{313D687C-F859-C947-B883-F8245469001C}">
      <formula1>$J$97:$K$97</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5AD0E-2296-6341-A012-F3CFAFA6F34B}">
  <dimension ref="A1:N72"/>
  <sheetViews>
    <sheetView zoomScale="120" zoomScaleNormal="120" workbookViewId="0">
      <selection activeCell="A3" sqref="A3"/>
    </sheetView>
  </sheetViews>
  <sheetFormatPr baseColWidth="10" defaultRowHeight="16"/>
  <cols>
    <col min="1" max="1" width="56.5" style="248" customWidth="1"/>
    <col min="2" max="2" width="8" style="250" customWidth="1"/>
    <col min="3" max="3" width="18" style="250" customWidth="1"/>
    <col min="4" max="4" width="17.83203125" style="250" customWidth="1"/>
    <col min="5" max="5" width="15" style="250" customWidth="1"/>
    <col min="6" max="6" width="17.33203125" style="250" customWidth="1"/>
    <col min="7" max="7" width="5.33203125" style="250" customWidth="1"/>
    <col min="8" max="8" width="4.6640625" style="250" customWidth="1"/>
    <col min="9" max="9" width="5.5" style="250" customWidth="1"/>
    <col min="10" max="10" width="7.83203125" style="250" customWidth="1"/>
    <col min="11" max="13" width="10.83203125" style="250"/>
    <col min="14" max="14" width="3.33203125" style="280" customWidth="1"/>
    <col min="15" max="16384" width="10.83203125" style="250"/>
  </cols>
  <sheetData>
    <row r="1" spans="1:14" s="262" customFormat="1" ht="25">
      <c r="A1" s="265" t="s">
        <v>49</v>
      </c>
      <c r="B1" s="264" t="s">
        <v>346</v>
      </c>
      <c r="N1" s="278"/>
    </row>
    <row r="2" spans="1:14" s="261" customFormat="1" ht="20">
      <c r="A2" s="266" t="s">
        <v>33</v>
      </c>
      <c r="B2" s="462"/>
      <c r="C2" s="462"/>
      <c r="D2" s="462"/>
      <c r="E2" s="462"/>
      <c r="F2" s="462"/>
      <c r="G2" s="462"/>
      <c r="H2" s="462"/>
      <c r="I2" s="462"/>
      <c r="J2" s="462"/>
      <c r="K2" s="462"/>
      <c r="L2" s="462"/>
      <c r="M2" s="462"/>
      <c r="N2" s="279"/>
    </row>
    <row r="3" spans="1:14" ht="17">
      <c r="A3" s="324" t="s">
        <v>134</v>
      </c>
      <c r="B3" s="254"/>
      <c r="C3" s="254"/>
      <c r="D3" s="254"/>
      <c r="E3" s="254"/>
      <c r="F3" s="254"/>
      <c r="G3" s="254"/>
      <c r="H3" s="254"/>
      <c r="I3" s="254"/>
      <c r="J3" s="254"/>
      <c r="K3" s="254"/>
      <c r="L3" s="254"/>
      <c r="M3" s="254"/>
    </row>
    <row r="4" spans="1:14" ht="55" customHeight="1">
      <c r="A4" s="256" t="s">
        <v>323</v>
      </c>
      <c r="B4" s="456" t="s">
        <v>321</v>
      </c>
      <c r="C4" s="456"/>
      <c r="D4" s="456"/>
      <c r="E4" s="456"/>
      <c r="F4" s="456"/>
      <c r="G4" s="456"/>
      <c r="H4" s="456"/>
      <c r="I4" s="456"/>
      <c r="J4" s="456"/>
      <c r="K4" s="456"/>
      <c r="L4" s="456"/>
      <c r="M4" s="456"/>
    </row>
    <row r="5" spans="1:14" ht="98" customHeight="1">
      <c r="A5" s="256" t="s">
        <v>320</v>
      </c>
      <c r="B5" s="460" t="s">
        <v>420</v>
      </c>
      <c r="C5" s="460"/>
      <c r="D5" s="460"/>
      <c r="E5" s="460"/>
      <c r="F5" s="460"/>
      <c r="G5" s="460"/>
      <c r="H5" s="460"/>
      <c r="I5" s="460"/>
      <c r="J5" s="460"/>
      <c r="K5" s="460"/>
      <c r="L5" s="460"/>
      <c r="M5" s="460"/>
    </row>
    <row r="6" spans="1:14" ht="50" customHeight="1">
      <c r="A6" s="256" t="s">
        <v>319</v>
      </c>
      <c r="B6" s="460" t="s">
        <v>335</v>
      </c>
      <c r="C6" s="460"/>
      <c r="D6" s="460"/>
      <c r="E6" s="460"/>
      <c r="F6" s="460"/>
      <c r="G6" s="460"/>
      <c r="H6" s="460"/>
      <c r="I6" s="460"/>
      <c r="J6" s="460"/>
      <c r="K6" s="460"/>
      <c r="L6" s="460"/>
      <c r="M6" s="460"/>
    </row>
    <row r="7" spans="1:14" s="325" customFormat="1" ht="67" customHeight="1">
      <c r="A7" s="255" t="s">
        <v>363</v>
      </c>
      <c r="B7" s="464" t="s">
        <v>369</v>
      </c>
      <c r="C7" s="455"/>
      <c r="D7" s="455"/>
      <c r="E7" s="455"/>
      <c r="F7" s="455"/>
      <c r="G7" s="455"/>
      <c r="H7" s="455"/>
      <c r="I7" s="455"/>
      <c r="J7" s="455"/>
      <c r="K7" s="455"/>
      <c r="L7" s="455"/>
      <c r="M7" s="455"/>
      <c r="N7" s="280"/>
    </row>
    <row r="8" spans="1:14" ht="31" customHeight="1">
      <c r="A8" s="256" t="s">
        <v>46</v>
      </c>
      <c r="B8" s="456" t="s">
        <v>265</v>
      </c>
      <c r="C8" s="456"/>
      <c r="D8" s="456"/>
      <c r="E8" s="456"/>
      <c r="F8" s="456"/>
      <c r="G8" s="456"/>
      <c r="H8" s="456"/>
      <c r="I8" s="456"/>
      <c r="J8" s="456"/>
      <c r="K8" s="456"/>
      <c r="L8" s="456"/>
      <c r="M8" s="456"/>
    </row>
    <row r="9" spans="1:14" s="273" customFormat="1" ht="55" customHeight="1">
      <c r="A9" s="256" t="s">
        <v>318</v>
      </c>
      <c r="B9" s="456" t="s">
        <v>338</v>
      </c>
      <c r="C9" s="456"/>
      <c r="D9" s="456"/>
      <c r="E9" s="456"/>
      <c r="F9" s="456"/>
      <c r="G9" s="456"/>
      <c r="H9" s="456"/>
      <c r="I9" s="456"/>
      <c r="J9" s="456"/>
      <c r="K9" s="456"/>
      <c r="L9" s="456"/>
      <c r="M9" s="456"/>
      <c r="N9" s="280"/>
    </row>
    <row r="10" spans="1:14" ht="30" customHeight="1">
      <c r="A10" s="256" t="s">
        <v>215</v>
      </c>
      <c r="B10" s="456" t="s">
        <v>358</v>
      </c>
      <c r="C10" s="456"/>
      <c r="D10" s="456"/>
      <c r="E10" s="456"/>
      <c r="F10" s="456"/>
      <c r="G10" s="456"/>
      <c r="H10" s="456"/>
      <c r="I10" s="456"/>
      <c r="J10" s="456"/>
      <c r="K10" s="456"/>
      <c r="L10" s="456"/>
      <c r="M10" s="456"/>
    </row>
    <row r="11" spans="1:14" ht="30" customHeight="1">
      <c r="A11" s="255" t="s">
        <v>272</v>
      </c>
      <c r="B11" s="463" t="s">
        <v>274</v>
      </c>
      <c r="C11" s="456"/>
      <c r="D11" s="456"/>
      <c r="E11" s="456"/>
      <c r="F11" s="456"/>
      <c r="G11" s="456"/>
      <c r="H11" s="456"/>
      <c r="I11" s="456"/>
      <c r="J11" s="456"/>
      <c r="K11" s="456"/>
      <c r="L11" s="456"/>
      <c r="M11" s="456"/>
    </row>
    <row r="12" spans="1:14" ht="17">
      <c r="A12" s="322" t="s">
        <v>135</v>
      </c>
      <c r="B12" s="259"/>
      <c r="C12" s="259"/>
      <c r="D12" s="259"/>
      <c r="E12" s="259"/>
      <c r="F12" s="259"/>
      <c r="G12" s="259"/>
      <c r="H12" s="259"/>
      <c r="I12" s="259"/>
      <c r="J12" s="259"/>
      <c r="K12" s="259"/>
      <c r="L12" s="259"/>
      <c r="M12" s="259"/>
    </row>
    <row r="13" spans="1:14" ht="48" customHeight="1">
      <c r="A13" s="256" t="s">
        <v>232</v>
      </c>
      <c r="B13" s="461" t="s">
        <v>296</v>
      </c>
      <c r="C13" s="461"/>
      <c r="D13" s="461"/>
      <c r="E13" s="461"/>
      <c r="F13" s="461"/>
      <c r="G13" s="461"/>
      <c r="H13" s="461"/>
      <c r="I13" s="461"/>
      <c r="J13" s="461"/>
      <c r="K13" s="461"/>
      <c r="L13" s="461"/>
      <c r="M13" s="461"/>
    </row>
    <row r="14" spans="1:14">
      <c r="B14" s="252"/>
      <c r="C14" s="6" t="s">
        <v>260</v>
      </c>
      <c r="D14" s="6"/>
      <c r="E14" s="6"/>
      <c r="F14" s="252"/>
      <c r="G14" s="252"/>
      <c r="H14" s="252"/>
      <c r="I14" s="252"/>
      <c r="J14" s="252"/>
      <c r="K14" s="252"/>
      <c r="L14" s="252"/>
      <c r="M14" s="252"/>
    </row>
    <row r="15" spans="1:14">
      <c r="B15" s="252"/>
      <c r="C15" s="146" t="s">
        <v>17</v>
      </c>
      <c r="D15" s="146" t="s">
        <v>259</v>
      </c>
      <c r="E15" s="146" t="s">
        <v>109</v>
      </c>
      <c r="F15" s="252"/>
      <c r="H15" s="252"/>
      <c r="I15" s="252"/>
      <c r="J15" s="252"/>
      <c r="K15" s="252"/>
      <c r="L15" s="252"/>
      <c r="M15" s="252"/>
    </row>
    <row r="16" spans="1:14">
      <c r="B16" s="252"/>
      <c r="C16" s="129">
        <v>1</v>
      </c>
      <c r="D16" s="130" t="s">
        <v>258</v>
      </c>
      <c r="E16" s="128">
        <v>28</v>
      </c>
      <c r="F16" s="252"/>
      <c r="G16" s="252"/>
      <c r="H16" s="252"/>
      <c r="I16" s="252"/>
      <c r="J16" s="252"/>
      <c r="K16" s="252"/>
      <c r="L16" s="252"/>
      <c r="M16" s="252"/>
    </row>
    <row r="17" spans="1:13">
      <c r="B17" s="252"/>
      <c r="C17" s="129">
        <v>2</v>
      </c>
      <c r="D17" s="130" t="s">
        <v>243</v>
      </c>
      <c r="E17" s="128">
        <v>45</v>
      </c>
      <c r="F17" s="252"/>
      <c r="G17" s="252"/>
      <c r="H17" s="252"/>
      <c r="I17" s="252"/>
      <c r="J17" s="252"/>
      <c r="K17" s="252"/>
      <c r="L17" s="252"/>
      <c r="M17" s="252"/>
    </row>
    <row r="18" spans="1:13">
      <c r="B18" s="252"/>
      <c r="C18" s="129">
        <v>3</v>
      </c>
      <c r="D18" s="130" t="s">
        <v>244</v>
      </c>
      <c r="E18" s="128">
        <v>100</v>
      </c>
      <c r="F18" s="252"/>
      <c r="G18" s="252"/>
      <c r="H18" s="252"/>
      <c r="I18" s="252"/>
      <c r="J18" s="252"/>
      <c r="K18" s="252"/>
      <c r="L18" s="252"/>
      <c r="M18" s="252"/>
    </row>
    <row r="19" spans="1:13">
      <c r="B19" s="252"/>
      <c r="C19" s="129">
        <v>4</v>
      </c>
      <c r="D19" s="130" t="s">
        <v>245</v>
      </c>
      <c r="E19" s="128">
        <v>175</v>
      </c>
      <c r="F19" s="252"/>
      <c r="G19" s="252"/>
      <c r="H19" s="252"/>
      <c r="I19" s="252"/>
      <c r="J19" s="252"/>
      <c r="K19" s="252"/>
      <c r="L19" s="252"/>
      <c r="M19" s="252"/>
    </row>
    <row r="20" spans="1:13">
      <c r="B20" s="252"/>
      <c r="C20" s="147" t="s">
        <v>257</v>
      </c>
      <c r="D20" s="6"/>
      <c r="E20" s="6"/>
      <c r="F20" s="252"/>
      <c r="G20" s="252"/>
      <c r="H20" s="252"/>
      <c r="I20" s="252"/>
      <c r="J20" s="252"/>
      <c r="K20" s="252"/>
      <c r="L20" s="252"/>
      <c r="M20" s="252"/>
    </row>
    <row r="21" spans="1:13" ht="84" customHeight="1">
      <c r="A21" s="256" t="s">
        <v>214</v>
      </c>
      <c r="B21" s="461" t="s">
        <v>359</v>
      </c>
      <c r="C21" s="461"/>
      <c r="D21" s="461"/>
      <c r="E21" s="461"/>
      <c r="F21" s="461"/>
      <c r="G21" s="461"/>
      <c r="H21" s="461"/>
      <c r="I21" s="461"/>
      <c r="J21" s="461"/>
      <c r="K21" s="461"/>
      <c r="L21" s="461"/>
      <c r="M21" s="461"/>
    </row>
    <row r="22" spans="1:13" ht="63" customHeight="1">
      <c r="A22" s="256" t="s">
        <v>233</v>
      </c>
      <c r="B22" s="461" t="s">
        <v>370</v>
      </c>
      <c r="C22" s="461"/>
      <c r="D22" s="461"/>
      <c r="E22" s="461"/>
      <c r="F22" s="461"/>
      <c r="G22" s="461"/>
      <c r="H22" s="461"/>
      <c r="I22" s="461"/>
      <c r="J22" s="461"/>
      <c r="K22" s="461"/>
      <c r="L22" s="461"/>
      <c r="M22" s="461"/>
    </row>
    <row r="23" spans="1:13" ht="32" customHeight="1">
      <c r="A23" s="256" t="s">
        <v>234</v>
      </c>
      <c r="B23" s="461" t="s">
        <v>266</v>
      </c>
      <c r="C23" s="461"/>
      <c r="D23" s="461"/>
      <c r="E23" s="461"/>
      <c r="F23" s="461"/>
      <c r="G23" s="461"/>
      <c r="H23" s="461"/>
      <c r="I23" s="461"/>
      <c r="J23" s="461"/>
      <c r="K23" s="461"/>
      <c r="L23" s="461"/>
      <c r="M23" s="461"/>
    </row>
    <row r="24" spans="1:13" ht="63" customHeight="1">
      <c r="A24" s="256" t="s">
        <v>183</v>
      </c>
      <c r="B24" s="461" t="s">
        <v>297</v>
      </c>
      <c r="C24" s="461"/>
      <c r="D24" s="461"/>
      <c r="E24" s="461"/>
      <c r="F24" s="461"/>
      <c r="G24" s="461"/>
      <c r="H24" s="461"/>
      <c r="I24" s="461"/>
      <c r="J24" s="461"/>
      <c r="K24" s="461"/>
      <c r="L24" s="461"/>
      <c r="M24" s="461"/>
    </row>
    <row r="25" spans="1:13" ht="64" customHeight="1">
      <c r="A25" s="256" t="s">
        <v>235</v>
      </c>
      <c r="B25" s="465" t="s">
        <v>298</v>
      </c>
      <c r="C25" s="465"/>
      <c r="D25" s="465"/>
      <c r="E25" s="465"/>
      <c r="F25" s="465"/>
      <c r="G25" s="465"/>
      <c r="H25" s="465"/>
      <c r="I25" s="465"/>
      <c r="J25" s="465"/>
      <c r="K25" s="465"/>
      <c r="L25" s="465"/>
      <c r="M25" s="465"/>
    </row>
    <row r="26" spans="1:13">
      <c r="B26" s="96" t="s">
        <v>261</v>
      </c>
    </row>
    <row r="27" spans="1:13">
      <c r="B27" s="248"/>
      <c r="C27" s="146" t="s">
        <v>202</v>
      </c>
      <c r="D27" s="146" t="s">
        <v>203</v>
      </c>
      <c r="E27" s="146" t="s">
        <v>204</v>
      </c>
      <c r="F27" s="146" t="s">
        <v>206</v>
      </c>
    </row>
    <row r="28" spans="1:13">
      <c r="B28" s="249"/>
      <c r="C28" s="129" t="s">
        <v>157</v>
      </c>
      <c r="D28" s="129" t="s">
        <v>163</v>
      </c>
      <c r="E28" s="131">
        <v>0.34</v>
      </c>
      <c r="F28" s="131">
        <v>0.16</v>
      </c>
    </row>
    <row r="29" spans="1:13">
      <c r="B29" s="96"/>
      <c r="C29" s="129" t="s">
        <v>158</v>
      </c>
      <c r="D29" s="129" t="s">
        <v>164</v>
      </c>
      <c r="E29" s="131">
        <v>0.27</v>
      </c>
      <c r="F29" s="131">
        <v>0.13</v>
      </c>
    </row>
    <row r="30" spans="1:13">
      <c r="B30" s="253"/>
      <c r="C30" s="129" t="s">
        <v>159</v>
      </c>
      <c r="D30" s="129" t="s">
        <v>165</v>
      </c>
      <c r="E30" s="131">
        <v>0.2</v>
      </c>
      <c r="F30" s="131">
        <v>0.1</v>
      </c>
    </row>
    <row r="31" spans="1:13">
      <c r="B31" s="96"/>
      <c r="C31" s="129" t="s">
        <v>160</v>
      </c>
      <c r="D31" s="129" t="s">
        <v>166</v>
      </c>
      <c r="E31" s="131">
        <v>0.13</v>
      </c>
      <c r="F31" s="131">
        <v>7.0000000000000007E-2</v>
      </c>
    </row>
    <row r="32" spans="1:13">
      <c r="B32" s="251"/>
      <c r="C32" s="129" t="s">
        <v>161</v>
      </c>
      <c r="D32" s="129" t="s">
        <v>167</v>
      </c>
      <c r="E32" s="132">
        <v>6.5000000000000002E-2</v>
      </c>
      <c r="F32" s="132">
        <v>3.5000000000000003E-2</v>
      </c>
    </row>
    <row r="33" spans="1:14">
      <c r="B33" s="251"/>
      <c r="C33" s="129" t="s">
        <v>162</v>
      </c>
      <c r="D33" s="129" t="s">
        <v>168</v>
      </c>
      <c r="E33" s="133">
        <v>0</v>
      </c>
      <c r="F33" s="132">
        <v>3.5000000000000003E-2</v>
      </c>
    </row>
    <row r="34" spans="1:14">
      <c r="B34" s="96"/>
      <c r="C34" s="129" t="s">
        <v>156</v>
      </c>
      <c r="D34" s="129" t="s">
        <v>171</v>
      </c>
      <c r="E34" s="131">
        <v>-0.1</v>
      </c>
      <c r="F34" s="132">
        <v>3.5000000000000003E-2</v>
      </c>
    </row>
    <row r="35" spans="1:14">
      <c r="C35" s="153" t="s">
        <v>205</v>
      </c>
      <c r="D35" s="6"/>
      <c r="E35" s="6"/>
      <c r="F35" s="6" t="s">
        <v>207</v>
      </c>
    </row>
    <row r="36" spans="1:14" ht="64" customHeight="1">
      <c r="A36" s="256" t="s">
        <v>324</v>
      </c>
      <c r="B36" s="455" t="s">
        <v>299</v>
      </c>
      <c r="C36" s="455"/>
      <c r="D36" s="455"/>
      <c r="E36" s="455"/>
      <c r="F36" s="455"/>
      <c r="G36" s="455"/>
      <c r="H36" s="455"/>
      <c r="I36" s="455"/>
      <c r="J36" s="455"/>
      <c r="K36" s="455"/>
      <c r="L36" s="455"/>
      <c r="M36" s="455"/>
    </row>
    <row r="37" spans="1:14" ht="34" customHeight="1">
      <c r="A37" s="257" t="s">
        <v>326</v>
      </c>
      <c r="B37" s="455" t="s">
        <v>276</v>
      </c>
      <c r="C37" s="455"/>
      <c r="D37" s="455"/>
      <c r="E37" s="455"/>
      <c r="F37" s="455"/>
      <c r="G37" s="455"/>
      <c r="H37" s="455"/>
      <c r="I37" s="455"/>
      <c r="J37" s="455"/>
      <c r="K37" s="455"/>
      <c r="L37" s="455"/>
      <c r="M37" s="455"/>
    </row>
    <row r="38" spans="1:14" ht="17">
      <c r="A38" s="323" t="s">
        <v>136</v>
      </c>
      <c r="B38" s="260"/>
      <c r="C38" s="260"/>
      <c r="D38" s="260"/>
      <c r="E38" s="260"/>
      <c r="F38" s="260"/>
      <c r="G38" s="260"/>
      <c r="H38" s="260"/>
      <c r="I38" s="260"/>
      <c r="J38" s="260"/>
      <c r="K38" s="260"/>
      <c r="L38" s="260"/>
      <c r="M38" s="260"/>
    </row>
    <row r="39" spans="1:14" ht="36" customHeight="1">
      <c r="A39" s="256" t="s">
        <v>263</v>
      </c>
      <c r="B39" s="455" t="s">
        <v>267</v>
      </c>
      <c r="C39" s="455"/>
      <c r="D39" s="455"/>
      <c r="E39" s="455"/>
      <c r="F39" s="455"/>
      <c r="G39" s="455"/>
      <c r="H39" s="455"/>
      <c r="I39" s="455"/>
      <c r="J39" s="455"/>
      <c r="K39" s="455"/>
      <c r="L39" s="455"/>
      <c r="M39" s="455"/>
    </row>
    <row r="40" spans="1:14" s="261" customFormat="1" ht="20">
      <c r="A40" s="266" t="s">
        <v>34</v>
      </c>
      <c r="B40" s="459"/>
      <c r="C40" s="459"/>
      <c r="D40" s="459"/>
      <c r="E40" s="459"/>
      <c r="F40" s="459"/>
      <c r="G40" s="459"/>
      <c r="H40" s="459"/>
      <c r="I40" s="459"/>
      <c r="J40" s="459"/>
      <c r="K40" s="459"/>
      <c r="L40" s="459"/>
      <c r="M40" s="459"/>
      <c r="N40" s="279"/>
    </row>
    <row r="41" spans="1:14" ht="17">
      <c r="A41" s="322" t="s">
        <v>356</v>
      </c>
      <c r="B41" s="258"/>
      <c r="C41" s="258"/>
      <c r="D41" s="258"/>
      <c r="E41" s="258"/>
      <c r="F41" s="258"/>
      <c r="G41" s="258"/>
      <c r="H41" s="258"/>
      <c r="I41" s="258"/>
      <c r="J41" s="258"/>
      <c r="K41" s="258"/>
      <c r="L41" s="258"/>
      <c r="M41" s="258"/>
    </row>
    <row r="42" spans="1:14" s="274" customFormat="1" ht="34" customHeight="1">
      <c r="A42" s="256" t="s">
        <v>336</v>
      </c>
      <c r="B42" s="455" t="s">
        <v>337</v>
      </c>
      <c r="C42" s="455"/>
      <c r="D42" s="455"/>
      <c r="E42" s="455"/>
      <c r="F42" s="455"/>
      <c r="G42" s="455"/>
      <c r="H42" s="455"/>
      <c r="I42" s="455"/>
      <c r="J42" s="455"/>
      <c r="K42" s="455"/>
      <c r="L42" s="455"/>
      <c r="M42" s="455"/>
      <c r="N42" s="280"/>
    </row>
    <row r="43" spans="1:14" s="273" customFormat="1" ht="82" customHeight="1">
      <c r="A43" s="256" t="s">
        <v>333</v>
      </c>
      <c r="B43" s="455" t="s">
        <v>421</v>
      </c>
      <c r="C43" s="455"/>
      <c r="D43" s="455"/>
      <c r="E43" s="455"/>
      <c r="F43" s="455"/>
      <c r="G43" s="455"/>
      <c r="H43" s="455"/>
      <c r="I43" s="455"/>
      <c r="J43" s="455"/>
      <c r="K43" s="455"/>
      <c r="L43" s="455"/>
      <c r="M43" s="455"/>
      <c r="N43" s="280"/>
    </row>
    <row r="44" spans="1:14" s="273" customFormat="1" ht="31" customHeight="1">
      <c r="A44" s="256" t="s">
        <v>316</v>
      </c>
      <c r="B44" s="456" t="s">
        <v>339</v>
      </c>
      <c r="C44" s="456"/>
      <c r="D44" s="456"/>
      <c r="E44" s="456"/>
      <c r="F44" s="456"/>
      <c r="G44" s="456"/>
      <c r="H44" s="456"/>
      <c r="I44" s="456"/>
      <c r="J44" s="456"/>
      <c r="K44" s="456"/>
      <c r="L44" s="456"/>
      <c r="M44" s="456"/>
      <c r="N44" s="280"/>
    </row>
    <row r="45" spans="1:14" ht="44" customHeight="1">
      <c r="A45" s="256" t="s">
        <v>262</v>
      </c>
      <c r="B45" s="456" t="s">
        <v>268</v>
      </c>
      <c r="C45" s="456"/>
      <c r="D45" s="456"/>
      <c r="E45" s="456"/>
      <c r="F45" s="456"/>
      <c r="G45" s="456"/>
      <c r="H45" s="456"/>
      <c r="I45" s="456"/>
      <c r="J45" s="456"/>
      <c r="K45" s="456"/>
      <c r="L45" s="456"/>
      <c r="M45" s="456"/>
    </row>
    <row r="46" spans="1:14" ht="69" customHeight="1">
      <c r="A46" s="72" t="s">
        <v>237</v>
      </c>
      <c r="B46" s="456" t="s">
        <v>300</v>
      </c>
      <c r="C46" s="456"/>
      <c r="D46" s="456"/>
      <c r="E46" s="456"/>
      <c r="F46" s="456"/>
      <c r="G46" s="456"/>
      <c r="H46" s="456"/>
      <c r="I46" s="456"/>
      <c r="J46" s="456"/>
      <c r="K46" s="456"/>
      <c r="L46" s="456"/>
      <c r="M46" s="456"/>
    </row>
    <row r="47" spans="1:14" ht="27" customHeight="1">
      <c r="A47" s="72" t="s">
        <v>195</v>
      </c>
      <c r="B47" s="456" t="s">
        <v>301</v>
      </c>
      <c r="C47" s="456"/>
      <c r="D47" s="456"/>
      <c r="E47" s="456"/>
      <c r="F47" s="456"/>
      <c r="G47" s="456"/>
      <c r="H47" s="456"/>
      <c r="I47" s="456"/>
      <c r="J47" s="456"/>
      <c r="K47" s="456"/>
      <c r="L47" s="456"/>
      <c r="M47" s="456"/>
    </row>
    <row r="48" spans="1:14" ht="17">
      <c r="A48" s="322" t="s">
        <v>355</v>
      </c>
      <c r="B48" s="453"/>
      <c r="C48" s="453"/>
      <c r="D48" s="453"/>
      <c r="E48" s="453"/>
      <c r="F48" s="453"/>
      <c r="G48" s="453"/>
      <c r="H48" s="453"/>
      <c r="I48" s="453"/>
      <c r="J48" s="453"/>
      <c r="K48" s="453"/>
      <c r="L48" s="453"/>
      <c r="M48" s="453"/>
    </row>
    <row r="49" spans="1:14" ht="28" customHeight="1">
      <c r="A49" s="256" t="s">
        <v>128</v>
      </c>
      <c r="B49" s="456" t="s">
        <v>302</v>
      </c>
      <c r="C49" s="456"/>
      <c r="D49" s="456"/>
      <c r="E49" s="456"/>
      <c r="F49" s="456"/>
      <c r="G49" s="456"/>
      <c r="H49" s="456"/>
      <c r="I49" s="456"/>
      <c r="J49" s="456"/>
      <c r="K49" s="456"/>
      <c r="L49" s="456"/>
      <c r="M49" s="456"/>
    </row>
    <row r="50" spans="1:14" ht="44" customHeight="1">
      <c r="A50" s="256" t="s">
        <v>138</v>
      </c>
      <c r="B50" s="456" t="s">
        <v>280</v>
      </c>
      <c r="C50" s="456"/>
      <c r="D50" s="456"/>
      <c r="E50" s="456"/>
      <c r="F50" s="456"/>
      <c r="G50" s="456"/>
      <c r="H50" s="456"/>
      <c r="I50" s="456"/>
      <c r="J50" s="456"/>
      <c r="K50" s="456"/>
      <c r="L50" s="456"/>
      <c r="M50" s="456"/>
    </row>
    <row r="51" spans="1:14" ht="31" customHeight="1">
      <c r="A51" s="256" t="s">
        <v>331</v>
      </c>
      <c r="B51" s="454" t="s">
        <v>303</v>
      </c>
      <c r="C51" s="454"/>
      <c r="D51" s="454"/>
      <c r="E51" s="454"/>
      <c r="F51" s="454"/>
      <c r="G51" s="454"/>
      <c r="H51" s="454"/>
      <c r="I51" s="454"/>
      <c r="J51" s="454"/>
      <c r="K51" s="454"/>
      <c r="L51" s="454"/>
      <c r="M51" s="454"/>
    </row>
    <row r="52" spans="1:14" ht="17" customHeight="1">
      <c r="A52" s="72" t="s">
        <v>332</v>
      </c>
      <c r="B52" s="455" t="s">
        <v>304</v>
      </c>
      <c r="C52" s="455"/>
      <c r="D52" s="455"/>
      <c r="E52" s="455"/>
      <c r="F52" s="455"/>
      <c r="G52" s="455"/>
      <c r="H52" s="455"/>
      <c r="I52" s="455"/>
      <c r="J52" s="455"/>
      <c r="K52" s="455"/>
      <c r="L52" s="455"/>
      <c r="M52" s="455"/>
    </row>
    <row r="53" spans="1:14" ht="46" customHeight="1">
      <c r="A53" s="256" t="s">
        <v>144</v>
      </c>
      <c r="B53" s="455" t="s">
        <v>305</v>
      </c>
      <c r="C53" s="455"/>
      <c r="D53" s="455"/>
      <c r="E53" s="455"/>
      <c r="F53" s="455"/>
      <c r="G53" s="455"/>
      <c r="H53" s="455"/>
      <c r="I53" s="455"/>
      <c r="J53" s="455"/>
      <c r="K53" s="455"/>
      <c r="L53" s="455"/>
      <c r="M53" s="455"/>
    </row>
    <row r="54" spans="1:14" s="352" customFormat="1" ht="32" customHeight="1">
      <c r="A54" s="434" t="s">
        <v>412</v>
      </c>
      <c r="B54" s="457" t="s">
        <v>418</v>
      </c>
      <c r="C54" s="455"/>
      <c r="D54" s="455"/>
      <c r="E54" s="455"/>
      <c r="F54" s="455"/>
      <c r="G54" s="455"/>
      <c r="H54" s="455"/>
      <c r="I54" s="455"/>
      <c r="J54" s="455"/>
      <c r="K54" s="455"/>
      <c r="L54" s="455"/>
      <c r="M54" s="455"/>
      <c r="N54" s="280"/>
    </row>
    <row r="55" spans="1:14" s="352" customFormat="1" ht="18" customHeight="1">
      <c r="A55" s="435" t="s">
        <v>413</v>
      </c>
      <c r="B55" s="457" t="s">
        <v>417</v>
      </c>
      <c r="C55" s="455"/>
      <c r="D55" s="455"/>
      <c r="E55" s="455"/>
      <c r="F55" s="455"/>
      <c r="G55" s="455"/>
      <c r="H55" s="455"/>
      <c r="I55" s="455"/>
      <c r="J55" s="455"/>
      <c r="K55" s="455"/>
      <c r="L55" s="455"/>
      <c r="M55" s="455"/>
      <c r="N55" s="280"/>
    </row>
    <row r="56" spans="1:14" ht="64" customHeight="1">
      <c r="A56" s="256" t="s">
        <v>238</v>
      </c>
      <c r="B56" s="455" t="s">
        <v>306</v>
      </c>
      <c r="C56" s="455"/>
      <c r="D56" s="455"/>
      <c r="E56" s="455"/>
      <c r="F56" s="455"/>
      <c r="G56" s="455"/>
      <c r="H56" s="455"/>
      <c r="I56" s="455"/>
      <c r="J56" s="455"/>
      <c r="K56" s="455"/>
      <c r="L56" s="455"/>
      <c r="M56" s="455"/>
    </row>
    <row r="57" spans="1:14" ht="33" customHeight="1">
      <c r="A57" s="256" t="s">
        <v>146</v>
      </c>
      <c r="B57" s="455" t="s">
        <v>148</v>
      </c>
      <c r="C57" s="455"/>
      <c r="D57" s="455"/>
      <c r="E57" s="455"/>
      <c r="F57" s="455"/>
      <c r="G57" s="455"/>
      <c r="H57" s="455"/>
      <c r="I57" s="455"/>
      <c r="J57" s="455"/>
      <c r="K57" s="455"/>
      <c r="L57" s="455"/>
      <c r="M57" s="455"/>
    </row>
    <row r="58" spans="1:14" ht="17">
      <c r="A58" s="256" t="s">
        <v>145</v>
      </c>
      <c r="B58" s="455" t="s">
        <v>307</v>
      </c>
      <c r="C58" s="455"/>
      <c r="D58" s="455"/>
      <c r="E58" s="455"/>
      <c r="F58" s="455"/>
      <c r="G58" s="455"/>
      <c r="H58" s="455"/>
      <c r="I58" s="455"/>
      <c r="J58" s="455"/>
      <c r="K58" s="455"/>
      <c r="L58" s="455"/>
      <c r="M58" s="455"/>
    </row>
    <row r="59" spans="1:14" ht="53" customHeight="1">
      <c r="A59" s="256" t="s">
        <v>277</v>
      </c>
      <c r="B59" s="455" t="s">
        <v>278</v>
      </c>
      <c r="C59" s="455"/>
      <c r="D59" s="455"/>
      <c r="E59" s="455"/>
      <c r="F59" s="455"/>
      <c r="G59" s="455"/>
      <c r="H59" s="455"/>
      <c r="I59" s="455"/>
      <c r="J59" s="455"/>
      <c r="K59" s="455"/>
      <c r="L59" s="455"/>
      <c r="M59" s="455"/>
    </row>
    <row r="60" spans="1:14" s="261" customFormat="1" ht="20">
      <c r="A60" s="266" t="s">
        <v>133</v>
      </c>
      <c r="B60" s="459"/>
      <c r="C60" s="459"/>
      <c r="D60" s="459"/>
      <c r="E60" s="459"/>
      <c r="F60" s="459"/>
      <c r="G60" s="459"/>
      <c r="H60" s="459"/>
      <c r="I60" s="459"/>
      <c r="J60" s="459"/>
      <c r="K60" s="459"/>
      <c r="L60" s="459"/>
      <c r="M60" s="459"/>
      <c r="N60" s="279"/>
    </row>
    <row r="61" spans="1:14" ht="17">
      <c r="A61" s="322" t="s">
        <v>264</v>
      </c>
      <c r="B61" s="258"/>
      <c r="C61" s="258"/>
      <c r="D61" s="258"/>
      <c r="E61" s="258"/>
      <c r="F61" s="258"/>
      <c r="G61" s="258"/>
      <c r="H61" s="258"/>
      <c r="I61" s="258"/>
      <c r="J61" s="258"/>
      <c r="K61" s="258"/>
      <c r="L61" s="258"/>
      <c r="M61" s="258"/>
    </row>
    <row r="62" spans="1:14" ht="34" customHeight="1">
      <c r="A62" s="256" t="s">
        <v>122</v>
      </c>
      <c r="B62" s="455" t="s">
        <v>308</v>
      </c>
      <c r="C62" s="455"/>
      <c r="D62" s="455"/>
      <c r="E62" s="455"/>
      <c r="F62" s="455"/>
      <c r="G62" s="455"/>
      <c r="H62" s="455"/>
      <c r="I62" s="455"/>
      <c r="J62" s="455"/>
      <c r="K62" s="455"/>
      <c r="L62" s="455"/>
      <c r="M62" s="455"/>
    </row>
    <row r="63" spans="1:14" ht="32" customHeight="1">
      <c r="A63" s="272" t="s">
        <v>269</v>
      </c>
      <c r="B63" s="455" t="s">
        <v>309</v>
      </c>
      <c r="C63" s="455"/>
      <c r="D63" s="455"/>
      <c r="E63" s="455"/>
      <c r="F63" s="455"/>
      <c r="G63" s="455"/>
      <c r="H63" s="455"/>
      <c r="I63" s="455"/>
      <c r="J63" s="455"/>
      <c r="K63" s="455"/>
      <c r="L63" s="455"/>
      <c r="M63" s="455"/>
    </row>
    <row r="64" spans="1:14" ht="18" customHeight="1">
      <c r="A64" s="256" t="s">
        <v>239</v>
      </c>
      <c r="B64" s="452" t="s">
        <v>216</v>
      </c>
      <c r="C64" s="452"/>
      <c r="D64" s="452"/>
      <c r="E64" s="452"/>
      <c r="F64" s="452"/>
      <c r="G64" s="452"/>
      <c r="H64" s="452"/>
      <c r="I64" s="452"/>
      <c r="J64" s="452"/>
      <c r="K64" s="452"/>
      <c r="L64" s="452"/>
      <c r="M64" s="452"/>
    </row>
    <row r="65" spans="1:13" ht="17" customHeight="1">
      <c r="B65" s="452" t="s">
        <v>217</v>
      </c>
      <c r="C65" s="452"/>
      <c r="D65" s="452"/>
      <c r="E65" s="452"/>
      <c r="F65" s="452"/>
      <c r="G65" s="452"/>
      <c r="H65" s="452"/>
      <c r="I65" s="452"/>
      <c r="J65" s="452"/>
      <c r="K65" s="452"/>
      <c r="L65" s="452"/>
      <c r="M65" s="452"/>
    </row>
    <row r="66" spans="1:13" ht="17" customHeight="1">
      <c r="B66" s="452" t="s">
        <v>218</v>
      </c>
      <c r="C66" s="452"/>
      <c r="D66" s="452"/>
      <c r="E66" s="452"/>
      <c r="F66" s="452"/>
      <c r="G66" s="452"/>
      <c r="H66" s="452"/>
      <c r="I66" s="452"/>
      <c r="J66" s="452"/>
      <c r="K66" s="452"/>
      <c r="L66" s="452"/>
      <c r="M66" s="452"/>
    </row>
    <row r="67" spans="1:13" ht="17" customHeight="1">
      <c r="A67" s="256" t="s">
        <v>240</v>
      </c>
      <c r="B67" s="450" t="s">
        <v>310</v>
      </c>
      <c r="C67" s="450"/>
      <c r="D67" s="450"/>
      <c r="E67" s="450"/>
      <c r="F67" s="450"/>
      <c r="G67" s="450"/>
      <c r="H67" s="450"/>
      <c r="I67" s="450"/>
      <c r="J67" s="450"/>
      <c r="K67" s="450"/>
      <c r="L67" s="450"/>
      <c r="M67" s="450"/>
    </row>
    <row r="68" spans="1:13" ht="16" customHeight="1">
      <c r="A68" s="256" t="s">
        <v>123</v>
      </c>
      <c r="B68" s="451" t="s">
        <v>311</v>
      </c>
      <c r="C68" s="451"/>
      <c r="D68" s="451"/>
      <c r="E68" s="451"/>
      <c r="F68" s="451"/>
      <c r="G68" s="451"/>
      <c r="H68" s="451"/>
      <c r="I68" s="451"/>
      <c r="J68" s="451"/>
      <c r="K68" s="451"/>
      <c r="L68" s="451"/>
      <c r="M68" s="451"/>
    </row>
    <row r="69" spans="1:13" ht="16" customHeight="1">
      <c r="A69" s="256" t="s">
        <v>241</v>
      </c>
      <c r="B69" s="452" t="s">
        <v>149</v>
      </c>
      <c r="C69" s="452"/>
      <c r="D69" s="452"/>
      <c r="E69" s="452"/>
      <c r="F69" s="452"/>
      <c r="G69" s="452"/>
      <c r="H69" s="452"/>
      <c r="I69" s="452"/>
      <c r="J69" s="452"/>
      <c r="K69" s="452"/>
      <c r="L69" s="452"/>
      <c r="M69" s="452"/>
    </row>
    <row r="70" spans="1:13" ht="48" customHeight="1">
      <c r="A70" s="256" t="s">
        <v>125</v>
      </c>
      <c r="B70" s="458" t="s">
        <v>312</v>
      </c>
      <c r="C70" s="458"/>
      <c r="D70" s="458"/>
      <c r="E70" s="458"/>
      <c r="F70" s="458"/>
      <c r="G70" s="458"/>
      <c r="H70" s="458"/>
      <c r="I70" s="458"/>
      <c r="J70" s="458"/>
      <c r="K70" s="458"/>
      <c r="L70" s="458"/>
      <c r="M70" s="458"/>
    </row>
    <row r="71" spans="1:13">
      <c r="A71" s="269"/>
      <c r="B71" s="269"/>
      <c r="C71" s="269"/>
      <c r="D71" s="269"/>
      <c r="E71" s="269"/>
      <c r="F71" s="269"/>
      <c r="G71" s="269"/>
      <c r="H71" s="269"/>
      <c r="I71" s="269"/>
      <c r="J71" s="269"/>
      <c r="K71" s="269"/>
      <c r="L71" s="269"/>
      <c r="M71" s="269"/>
    </row>
    <row r="72" spans="1:13">
      <c r="A72" s="269"/>
      <c r="B72" s="269"/>
      <c r="C72" s="269"/>
      <c r="D72" s="269"/>
      <c r="E72" s="269"/>
      <c r="F72" s="269"/>
      <c r="G72" s="269"/>
      <c r="H72" s="269"/>
      <c r="I72" s="269"/>
      <c r="J72" s="269"/>
      <c r="K72" s="269"/>
      <c r="L72" s="269"/>
      <c r="M72" s="269"/>
    </row>
  </sheetData>
  <sheetProtection sheet="1" objects="1" scenarios="1" selectLockedCells="1"/>
  <mergeCells count="47">
    <mergeCell ref="B44:M44"/>
    <mergeCell ref="B37:M37"/>
    <mergeCell ref="B39:M39"/>
    <mergeCell ref="B40:M40"/>
    <mergeCell ref="B2:M2"/>
    <mergeCell ref="B11:M11"/>
    <mergeCell ref="B24:M24"/>
    <mergeCell ref="B4:M4"/>
    <mergeCell ref="B8:M8"/>
    <mergeCell ref="B10:M10"/>
    <mergeCell ref="B7:M7"/>
    <mergeCell ref="B23:M23"/>
    <mergeCell ref="B9:M9"/>
    <mergeCell ref="B42:M42"/>
    <mergeCell ref="B43:M43"/>
    <mergeCell ref="B25:M25"/>
    <mergeCell ref="B36:M36"/>
    <mergeCell ref="B5:M5"/>
    <mergeCell ref="B6:M6"/>
    <mergeCell ref="B13:M13"/>
    <mergeCell ref="B21:M21"/>
    <mergeCell ref="B22:M22"/>
    <mergeCell ref="B70:M70"/>
    <mergeCell ref="B64:M64"/>
    <mergeCell ref="B65:M65"/>
    <mergeCell ref="B66:M66"/>
    <mergeCell ref="B45:M45"/>
    <mergeCell ref="B62:M62"/>
    <mergeCell ref="B63:M63"/>
    <mergeCell ref="B53:M53"/>
    <mergeCell ref="B56:M56"/>
    <mergeCell ref="B57:M57"/>
    <mergeCell ref="B58:M58"/>
    <mergeCell ref="B59:M59"/>
    <mergeCell ref="B60:M60"/>
    <mergeCell ref="B46:M46"/>
    <mergeCell ref="B47:M47"/>
    <mergeCell ref="B49:M49"/>
    <mergeCell ref="B67:M67"/>
    <mergeCell ref="B68:M68"/>
    <mergeCell ref="B69:M69"/>
    <mergeCell ref="B48:M48"/>
    <mergeCell ref="B51:M51"/>
    <mergeCell ref="B52:M52"/>
    <mergeCell ref="B50:M50"/>
    <mergeCell ref="B54:M54"/>
    <mergeCell ref="B55:M55"/>
  </mergeCells>
  <hyperlinks>
    <hyperlink ref="A12" location="'PCF Revenue Calculator'!A14" display="Primary Care First Input Data" xr:uid="{6C4AB3FD-D4EC-7C43-862C-01C0742FB817}"/>
    <hyperlink ref="A3" location="'PCF Revenue Calculator'!A6" display="Practice Derived Input Data" xr:uid="{E0788AEA-8E42-D842-B888-FAEE5A5C7C43}"/>
    <hyperlink ref="A38" location="'PCF Revenue Calculator'!A23" display="PCF Practice Additional Overhead" xr:uid="{383BD13B-ECE2-6D46-8A37-DFE38053F492}"/>
    <hyperlink ref="A41" location="'PCF Revenue Calculator'!A33" display="Algorithm Outputs" xr:uid="{862C8696-6F7B-9B40-BF2C-AEB3719CE194}"/>
    <hyperlink ref="A48" location="'PCF Revenue Calculator'!A38" display="PCF Revenue" xr:uid="{58162D36-81F5-944B-8B63-DC1A76F25F2B}"/>
    <hyperlink ref="A61" location="'PCF Revenue Calculator'!A48" display="PCF Payment Model Option 3" xr:uid="{A24877F2-C63F-EF44-8D2C-365B9BD7807B}"/>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75D4F-331F-4949-ADA8-D4120B92CB86}">
  <dimension ref="B1:N32"/>
  <sheetViews>
    <sheetView workbookViewId="0">
      <selection activeCell="E24" sqref="E24"/>
    </sheetView>
  </sheetViews>
  <sheetFormatPr baseColWidth="10" defaultColWidth="10.83203125" defaultRowHeight="16"/>
  <cols>
    <col min="2" max="2" width="18" customWidth="1"/>
    <col min="4" max="4" width="15.83203125" customWidth="1"/>
    <col min="5" max="5" width="14" customWidth="1"/>
    <col min="7" max="8" width="13" customWidth="1"/>
    <col min="9" max="10" width="12.5" bestFit="1" customWidth="1"/>
    <col min="11" max="11" width="11.5" bestFit="1" customWidth="1"/>
  </cols>
  <sheetData>
    <row r="1" spans="2:13">
      <c r="H1" s="29" t="s">
        <v>90</v>
      </c>
      <c r="I1" s="5"/>
      <c r="J1" s="5"/>
      <c r="K1" s="5"/>
      <c r="L1" s="5"/>
      <c r="M1" s="5"/>
    </row>
    <row r="2" spans="2:13">
      <c r="H2" t="s">
        <v>79</v>
      </c>
      <c r="I2" s="26">
        <v>50.52</v>
      </c>
      <c r="J2">
        <v>1200</v>
      </c>
      <c r="K2" s="3">
        <f>J2*I2</f>
        <v>60624.000000000007</v>
      </c>
    </row>
    <row r="3" spans="2:13">
      <c r="B3" t="s">
        <v>52</v>
      </c>
      <c r="H3" t="s">
        <v>69</v>
      </c>
      <c r="I3">
        <v>4240</v>
      </c>
      <c r="J3">
        <f>I3/4</f>
        <v>1060</v>
      </c>
      <c r="K3">
        <f>I3/4</f>
        <v>1060</v>
      </c>
    </row>
    <row r="4" spans="2:13">
      <c r="B4" t="s">
        <v>53</v>
      </c>
      <c r="H4" t="s">
        <v>70</v>
      </c>
      <c r="I4">
        <v>5000</v>
      </c>
    </row>
    <row r="5" spans="2:13">
      <c r="B5" t="s">
        <v>54</v>
      </c>
      <c r="D5" t="s">
        <v>58</v>
      </c>
      <c r="E5" t="s">
        <v>59</v>
      </c>
      <c r="H5" t="s">
        <v>67</v>
      </c>
      <c r="I5">
        <v>800</v>
      </c>
    </row>
    <row r="6" spans="2:13">
      <c r="C6" t="s">
        <v>55</v>
      </c>
      <c r="H6" t="s">
        <v>68</v>
      </c>
      <c r="I6" s="28">
        <f>I3/I5</f>
        <v>5.3</v>
      </c>
    </row>
    <row r="7" spans="2:13">
      <c r="C7" t="s">
        <v>56</v>
      </c>
      <c r="H7" t="s">
        <v>71</v>
      </c>
      <c r="I7" s="1">
        <f>I3/I4</f>
        <v>0.84799999999999998</v>
      </c>
    </row>
    <row r="8" spans="2:13">
      <c r="C8" t="s">
        <v>57</v>
      </c>
      <c r="H8" t="s">
        <v>72</v>
      </c>
      <c r="I8" s="8">
        <v>45</v>
      </c>
    </row>
    <row r="9" spans="2:13">
      <c r="B9" t="s">
        <v>63</v>
      </c>
      <c r="H9" t="s">
        <v>73</v>
      </c>
      <c r="I9" s="3">
        <f>I8*I7</f>
        <v>38.159999999999997</v>
      </c>
    </row>
    <row r="10" spans="2:13">
      <c r="C10" t="s">
        <v>66</v>
      </c>
    </row>
    <row r="11" spans="2:13">
      <c r="C11" t="s">
        <v>65</v>
      </c>
      <c r="J11">
        <f>91800/800/3</f>
        <v>38.25</v>
      </c>
      <c r="K11" t="s">
        <v>91</v>
      </c>
    </row>
    <row r="12" spans="2:13">
      <c r="C12" t="s">
        <v>64</v>
      </c>
    </row>
    <row r="13" spans="2:13">
      <c r="B13" t="s">
        <v>60</v>
      </c>
      <c r="H13" t="s">
        <v>80</v>
      </c>
      <c r="I13" s="31">
        <f>J13*800*3</f>
        <v>91800</v>
      </c>
      <c r="J13" s="26">
        <v>38.25</v>
      </c>
      <c r="K13" t="s">
        <v>82</v>
      </c>
      <c r="L13" s="2" t="s">
        <v>83</v>
      </c>
    </row>
    <row r="14" spans="2:13">
      <c r="C14" t="s">
        <v>62</v>
      </c>
      <c r="I14" s="32" t="s">
        <v>93</v>
      </c>
      <c r="J14" s="26"/>
    </row>
    <row r="15" spans="2:13">
      <c r="C15" t="s">
        <v>61</v>
      </c>
      <c r="I15" s="8"/>
    </row>
    <row r="16" spans="2:13">
      <c r="B16" t="s">
        <v>105</v>
      </c>
      <c r="H16" t="s">
        <v>94</v>
      </c>
      <c r="I16" s="27">
        <f>1200*I2</f>
        <v>60624.000000000007</v>
      </c>
      <c r="J16" t="s">
        <v>92</v>
      </c>
    </row>
    <row r="17" spans="2:14">
      <c r="B17" t="s">
        <v>106</v>
      </c>
      <c r="H17" t="s">
        <v>81</v>
      </c>
      <c r="I17" s="30">
        <f>I2*J3</f>
        <v>53551.200000000004</v>
      </c>
      <c r="J17" t="s">
        <v>82</v>
      </c>
      <c r="L17" t="s">
        <v>84</v>
      </c>
    </row>
    <row r="18" spans="2:14">
      <c r="I18" s="31">
        <f>I17+I13</f>
        <v>145351.20000000001</v>
      </c>
      <c r="J18" t="s">
        <v>82</v>
      </c>
      <c r="M18" t="s">
        <v>85</v>
      </c>
    </row>
    <row r="19" spans="2:14">
      <c r="I19" t="s">
        <v>89</v>
      </c>
      <c r="M19" t="s">
        <v>86</v>
      </c>
    </row>
    <row r="20" spans="2:14">
      <c r="M20" t="s">
        <v>87</v>
      </c>
    </row>
    <row r="21" spans="2:14">
      <c r="H21" t="s">
        <v>96</v>
      </c>
      <c r="I21" t="s">
        <v>97</v>
      </c>
      <c r="J21" t="s">
        <v>98</v>
      </c>
      <c r="N21" t="s">
        <v>88</v>
      </c>
    </row>
    <row r="22" spans="2:14">
      <c r="B22" s="2" t="s">
        <v>107</v>
      </c>
      <c r="G22" s="2" t="s">
        <v>95</v>
      </c>
      <c r="H22" s="31">
        <f>I18</f>
        <v>145351.20000000001</v>
      </c>
      <c r="I22" s="31">
        <f>H22*0.5</f>
        <v>72675.600000000006</v>
      </c>
      <c r="J22" s="31">
        <f>H22+I22</f>
        <v>218026.80000000002</v>
      </c>
      <c r="K22" t="s">
        <v>99</v>
      </c>
    </row>
    <row r="23" spans="2:14">
      <c r="B23" t="s">
        <v>108</v>
      </c>
      <c r="C23" s="8">
        <v>325</v>
      </c>
      <c r="G23" t="s">
        <v>100</v>
      </c>
      <c r="H23" s="8">
        <v>152424</v>
      </c>
      <c r="I23" s="8">
        <f>I24+I25</f>
        <v>76211</v>
      </c>
      <c r="J23" s="8">
        <f>H23+I23</f>
        <v>228635</v>
      </c>
      <c r="K23" t="s">
        <v>101</v>
      </c>
    </row>
    <row r="24" spans="2:14">
      <c r="B24" t="s">
        <v>109</v>
      </c>
      <c r="C24" s="8">
        <v>275</v>
      </c>
      <c r="I24">
        <v>51824</v>
      </c>
    </row>
    <row r="25" spans="2:14">
      <c r="B25" t="s">
        <v>110</v>
      </c>
      <c r="C25" s="8">
        <v>50</v>
      </c>
      <c r="I25">
        <v>24387</v>
      </c>
      <c r="J25" s="1"/>
    </row>
    <row r="27" spans="2:14">
      <c r="B27" t="s">
        <v>111</v>
      </c>
    </row>
    <row r="28" spans="2:14">
      <c r="B28" t="s">
        <v>112</v>
      </c>
    </row>
    <row r="29" spans="2:14">
      <c r="B29" t="s">
        <v>113</v>
      </c>
    </row>
    <row r="30" spans="2:14">
      <c r="B30" t="s">
        <v>114</v>
      </c>
    </row>
    <row r="31" spans="2:14">
      <c r="B31" t="s">
        <v>115</v>
      </c>
    </row>
    <row r="32" spans="2:14">
      <c r="I32"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PCF Revenue Calculator</vt:lpstr>
      <vt:lpstr>Algorithm Ref Tables</vt:lpstr>
      <vt:lpstr>Details and Definitions</vt:lpstr>
      <vt:lpstr>PCF Additions notes</vt:lpstr>
      <vt:lpstr>'PCF Revenue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Ehrenberger</dc:creator>
  <cp:lastModifiedBy>David Ehrenberger</cp:lastModifiedBy>
  <cp:lastPrinted>2019-11-05T23:24:04Z</cp:lastPrinted>
  <dcterms:created xsi:type="dcterms:W3CDTF">2019-06-05T16:45:33Z</dcterms:created>
  <dcterms:modified xsi:type="dcterms:W3CDTF">2019-12-14T00:04:03Z</dcterms:modified>
</cp:coreProperties>
</file>