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codeName="ThisWorkbook" defaultThemeVersion="166925"/>
  <mc:AlternateContent xmlns:mc="http://schemas.openxmlformats.org/markup-compatibility/2006">
    <mc:Choice Requires="x15">
      <x15ac:absPath xmlns:x15ac="http://schemas.microsoft.com/office/spreadsheetml/2010/11/ac" url="/Users/kristibohling-dametz/Desktop/CPC+_PCF Calculator/PCF:CPC+:FFS Calculator Documents/Cohort 2 Materials/Cohort 2 Calculator/"/>
    </mc:Choice>
  </mc:AlternateContent>
  <xr:revisionPtr revIDLastSave="0" documentId="13_ncr:1_{CBA24AFC-6F54-734B-9581-CE2179F3D961}" xr6:coauthVersionLast="46" xr6:coauthVersionMax="46" xr10:uidLastSave="{00000000-0000-0000-0000-000000000000}"/>
  <bookViews>
    <workbookView xWindow="-37060" yWindow="460" windowWidth="36040" windowHeight="21140" xr2:uid="{CE4A28E7-DB1E-D447-886D-4470B140A756}"/>
  </bookViews>
  <sheets>
    <sheet name="PCF Revenue Calculator" sheetId="6" r:id="rId1"/>
    <sheet name="Algorithm Ref Tables" sheetId="7" r:id="rId2"/>
    <sheet name="Details and Definitions" sheetId="9" r:id="rId3"/>
    <sheet name="PCF Additions notes" sheetId="5" state="hidden" r:id="rId4"/>
  </sheets>
  <definedNames>
    <definedName name="_xlnm.Print_Area" localSheetId="0">'PCF Revenue Calculator'!$A$1:$F$98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3" i="7" l="1"/>
  <c r="K83" i="7"/>
  <c r="W87" i="7"/>
  <c r="E9" i="6"/>
  <c r="D9" i="6"/>
  <c r="Z137" i="7" l="1"/>
  <c r="D15" i="7" l="1"/>
  <c r="C15" i="7"/>
  <c r="E20" i="6" l="1"/>
  <c r="D20" i="6"/>
  <c r="E22" i="6" l="1"/>
  <c r="G7" i="7" s="1"/>
  <c r="D22" i="6"/>
  <c r="G6" i="7" s="1"/>
  <c r="D28" i="7" l="1"/>
  <c r="V196" i="7" l="1"/>
  <c r="L191" i="7" s="1"/>
  <c r="U196" i="7"/>
  <c r="K191" i="7" s="1"/>
  <c r="E54" i="6" l="1"/>
  <c r="D54" i="6"/>
  <c r="D20" i="7" l="1"/>
  <c r="E25" i="6" s="1"/>
  <c r="E23" i="6" s="1"/>
  <c r="D19" i="7" s="1"/>
  <c r="D27" i="7" s="1"/>
  <c r="K192" i="7" l="1"/>
  <c r="L192" i="7"/>
  <c r="X157" i="7" l="1"/>
  <c r="AB158" i="7" s="1"/>
  <c r="X154" i="7"/>
  <c r="AB155" i="7" s="1"/>
  <c r="X151" i="7"/>
  <c r="U178" i="7" s="1"/>
  <c r="X148" i="7"/>
  <c r="U183" i="7" s="1"/>
  <c r="X145" i="7"/>
  <c r="U176" i="7" s="1"/>
  <c r="N157" i="7"/>
  <c r="R158" i="7" s="1"/>
  <c r="N154" i="7"/>
  <c r="R155" i="7" s="1"/>
  <c r="N151" i="7"/>
  <c r="R152" i="7" s="1"/>
  <c r="N148" i="7"/>
  <c r="R149" i="7" s="1"/>
  <c r="N145" i="7"/>
  <c r="AA158" i="7"/>
  <c r="AA155" i="7"/>
  <c r="AA152" i="7"/>
  <c r="AA149" i="7"/>
  <c r="AA146" i="7"/>
  <c r="Q158" i="7"/>
  <c r="Q155" i="7"/>
  <c r="Q152" i="7"/>
  <c r="Q149" i="7"/>
  <c r="Q146" i="7"/>
  <c r="K183" i="7" l="1"/>
  <c r="U184" i="7"/>
  <c r="U150" i="7"/>
  <c r="AB149" i="7"/>
  <c r="U153" i="7"/>
  <c r="AB152" i="7"/>
  <c r="U156" i="7"/>
  <c r="U154" i="7" s="1"/>
  <c r="K177" i="7"/>
  <c r="K150" i="7"/>
  <c r="K148" i="7" s="1"/>
  <c r="K159" i="7"/>
  <c r="K157" i="7" s="1"/>
  <c r="K178" i="7"/>
  <c r="U177" i="7"/>
  <c r="W179" i="7" s="1"/>
  <c r="U159" i="7"/>
  <c r="U157" i="7" s="1"/>
  <c r="W157" i="7" s="1"/>
  <c r="V179" i="7"/>
  <c r="U182" i="7"/>
  <c r="U147" i="7"/>
  <c r="AB146" i="7"/>
  <c r="K156" i="7"/>
  <c r="K154" i="7" s="1"/>
  <c r="M154" i="7" s="1"/>
  <c r="K153" i="7"/>
  <c r="K151" i="7" s="1"/>
  <c r="K184" i="7"/>
  <c r="L179" i="7"/>
  <c r="K182" i="7"/>
  <c r="K147" i="7"/>
  <c r="R146" i="7"/>
  <c r="K176" i="7"/>
  <c r="U185" i="7" l="1"/>
  <c r="U148" i="7"/>
  <c r="V148" i="7" s="1"/>
  <c r="U151" i="7"/>
  <c r="W151" i="7" s="1"/>
  <c r="K145" i="7"/>
  <c r="L145" i="7" s="1"/>
  <c r="L148" i="7"/>
  <c r="W154" i="7"/>
  <c r="W161" i="7" s="1"/>
  <c r="V154" i="7"/>
  <c r="U145" i="7"/>
  <c r="W145" i="7" s="1"/>
  <c r="U179" i="7"/>
  <c r="V157" i="7"/>
  <c r="M151" i="7"/>
  <c r="L154" i="7"/>
  <c r="L157" i="7"/>
  <c r="M157" i="7"/>
  <c r="M161" i="7" s="1"/>
  <c r="U168" i="7" l="1"/>
  <c r="W148" i="7"/>
  <c r="W160" i="7" s="1"/>
  <c r="V151" i="7"/>
  <c r="M145" i="7"/>
  <c r="V161" i="7"/>
  <c r="U167" i="7" s="1"/>
  <c r="M148" i="7"/>
  <c r="V145" i="7"/>
  <c r="L161" i="7"/>
  <c r="L151" i="7"/>
  <c r="K185" i="7"/>
  <c r="M179" i="7"/>
  <c r="K179" i="7" s="1"/>
  <c r="V160" i="7" l="1"/>
  <c r="U164" i="7" s="1"/>
  <c r="U170" i="7" s="1"/>
  <c r="W162" i="7"/>
  <c r="U165" i="7"/>
  <c r="U171" i="7" s="1"/>
  <c r="M160" i="7"/>
  <c r="M162" i="7" s="1"/>
  <c r="K168" i="7"/>
  <c r="K167" i="7"/>
  <c r="L160" i="7"/>
  <c r="L162" i="7" s="1"/>
  <c r="V162" i="7" l="1"/>
  <c r="K165" i="7"/>
  <c r="K164" i="7"/>
  <c r="P137" i="7" l="1"/>
  <c r="D17" i="7"/>
  <c r="C17" i="7"/>
  <c r="K170" i="7" l="1"/>
  <c r="K171" i="7"/>
  <c r="L106" i="7" l="1"/>
  <c r="K106" i="7"/>
  <c r="D21" i="7"/>
  <c r="K45" i="7" l="1"/>
  <c r="K46" i="7" s="1"/>
  <c r="C28" i="7"/>
  <c r="D10" i="7"/>
  <c r="C10" i="7"/>
  <c r="C20" i="7" l="1"/>
  <c r="D25" i="6" s="1"/>
  <c r="D23" i="6" s="1"/>
  <c r="C19" i="7" s="1"/>
  <c r="C27" i="7" s="1"/>
  <c r="C21" i="7" l="1"/>
  <c r="E12" i="6" l="1"/>
  <c r="D12" i="6"/>
  <c r="L67" i="7"/>
  <c r="L66" i="7"/>
  <c r="K66" i="7"/>
  <c r="D48" i="6" l="1"/>
  <c r="N134" i="7" s="1"/>
  <c r="O134" i="7"/>
  <c r="O133" i="7"/>
  <c r="O132" i="7"/>
  <c r="O137" i="7"/>
  <c r="N132" i="7"/>
  <c r="N135" i="7"/>
  <c r="N133" i="7"/>
  <c r="K199" i="7"/>
  <c r="L199" i="7"/>
  <c r="E48" i="6"/>
  <c r="L72" i="7"/>
  <c r="L73" i="7" s="1"/>
  <c r="L65" i="7"/>
  <c r="L45" i="7"/>
  <c r="L46" i="7" s="1"/>
  <c r="L44" i="7"/>
  <c r="L38" i="7"/>
  <c r="D39" i="7"/>
  <c r="L22" i="7"/>
  <c r="L27" i="7"/>
  <c r="L28" i="7"/>
  <c r="L29" i="7"/>
  <c r="L30" i="7"/>
  <c r="L31" i="7"/>
  <c r="L32" i="7"/>
  <c r="L33" i="7"/>
  <c r="O136" i="7" l="1"/>
  <c r="U200" i="7"/>
  <c r="D81" i="6" s="1"/>
  <c r="Y137" i="7"/>
  <c r="X132" i="7"/>
  <c r="Y132" i="7"/>
  <c r="X133" i="7"/>
  <c r="Y136" i="7"/>
  <c r="Y134" i="7"/>
  <c r="X135" i="7"/>
  <c r="X134" i="7"/>
  <c r="Y133" i="7"/>
  <c r="O199" i="7"/>
  <c r="N199" i="7"/>
  <c r="V200" i="7" s="1"/>
  <c r="E81" i="6" s="1"/>
  <c r="N139" i="7"/>
  <c r="N138" i="7" s="1"/>
  <c r="L47" i="7"/>
  <c r="E100" i="6"/>
  <c r="E101" i="6"/>
  <c r="Y139" i="7" l="1"/>
  <c r="Y138" i="7" s="1"/>
  <c r="Z138" i="7" s="1"/>
  <c r="X139" i="7"/>
  <c r="X138" i="7" s="1"/>
  <c r="O139" i="7"/>
  <c r="O138" i="7" s="1"/>
  <c r="P138" i="7" s="1"/>
  <c r="C52" i="7" s="1"/>
  <c r="N140" i="7"/>
  <c r="K198" i="7" s="1"/>
  <c r="D36" i="7"/>
  <c r="D26" i="7"/>
  <c r="D25" i="7"/>
  <c r="L79" i="7"/>
  <c r="D6" i="7"/>
  <c r="D13" i="7"/>
  <c r="D16" i="7"/>
  <c r="D5" i="7"/>
  <c r="Q88" i="7"/>
  <c r="M88" i="7" s="1"/>
  <c r="Q89" i="7"/>
  <c r="M89" i="7" s="1"/>
  <c r="Q90" i="7"/>
  <c r="M90" i="7" s="1"/>
  <c r="Q87" i="7"/>
  <c r="M87" i="7" l="1"/>
  <c r="R87" i="7"/>
  <c r="M22" i="7"/>
  <c r="K22" i="7" s="1"/>
  <c r="M21" i="7"/>
  <c r="D22" i="7"/>
  <c r="D7" i="7"/>
  <c r="L48" i="7"/>
  <c r="L55" i="7" s="1"/>
  <c r="L56" i="7" s="1"/>
  <c r="D12" i="7"/>
  <c r="E17" i="6" s="1"/>
  <c r="E15" i="6" s="1"/>
  <c r="D11" i="7" s="1"/>
  <c r="O140" i="7"/>
  <c r="X140" i="7"/>
  <c r="N198" i="7" s="1"/>
  <c r="Y140" i="7"/>
  <c r="L21" i="7"/>
  <c r="L20" i="7"/>
  <c r="M20" i="7" s="1"/>
  <c r="L18" i="7"/>
  <c r="M18" i="7" s="1"/>
  <c r="R88" i="7"/>
  <c r="R89" i="7"/>
  <c r="R90" i="7"/>
  <c r="O198" i="7" l="1"/>
  <c r="V198" i="7" s="1"/>
  <c r="E79" i="6" s="1"/>
  <c r="L198" i="7"/>
  <c r="K21" i="7"/>
  <c r="K20" i="7"/>
  <c r="D14" i="7"/>
  <c r="L52" i="7" s="1"/>
  <c r="D23" i="7"/>
  <c r="D52" i="7"/>
  <c r="G9" i="7"/>
  <c r="D29" i="6"/>
  <c r="X88" i="7"/>
  <c r="X89" i="7"/>
  <c r="X90" i="7"/>
  <c r="X87" i="7"/>
  <c r="X92" i="7"/>
  <c r="D51" i="7" l="1"/>
  <c r="U198" i="7"/>
  <c r="D79" i="6" s="1"/>
  <c r="F79" i="6" s="1"/>
  <c r="L53" i="7"/>
  <c r="L12" i="7"/>
  <c r="K79" i="7"/>
  <c r="K81" i="7" s="1"/>
  <c r="K67" i="7"/>
  <c r="K72" i="7" s="1"/>
  <c r="K73" i="7" s="1"/>
  <c r="K65" i="7"/>
  <c r="K48" i="7"/>
  <c r="K44" i="7"/>
  <c r="K38" i="7"/>
  <c r="K39" i="7" s="1"/>
  <c r="K33" i="7"/>
  <c r="K32" i="7"/>
  <c r="K31" i="7"/>
  <c r="K30" i="7"/>
  <c r="K29" i="7"/>
  <c r="K28" i="7"/>
  <c r="K27" i="7"/>
  <c r="C39" i="7"/>
  <c r="C40" i="7" s="1"/>
  <c r="C36" i="7"/>
  <c r="C26" i="7"/>
  <c r="C25" i="7"/>
  <c r="C16" i="7"/>
  <c r="C12" i="7" s="1"/>
  <c r="C13" i="7"/>
  <c r="C6" i="7"/>
  <c r="C5" i="7"/>
  <c r="W90" i="7"/>
  <c r="W89" i="7"/>
  <c r="W88" i="7"/>
  <c r="L81" i="7"/>
  <c r="L39" i="7"/>
  <c r="L40" i="7" s="1"/>
  <c r="D40" i="7"/>
  <c r="D37" i="7"/>
  <c r="D31" i="7"/>
  <c r="D32" i="7" s="1"/>
  <c r="M12" i="7" l="1"/>
  <c r="K12" i="7" s="1"/>
  <c r="M11" i="7"/>
  <c r="C51" i="7"/>
  <c r="K40" i="7"/>
  <c r="D9" i="7"/>
  <c r="L118" i="7" s="1"/>
  <c r="L119" i="7" s="1"/>
  <c r="D8" i="7"/>
  <c r="D45" i="7" s="1"/>
  <c r="C22" i="7"/>
  <c r="K47" i="7"/>
  <c r="C8" i="7"/>
  <c r="C7" i="7"/>
  <c r="C9" i="7" s="1"/>
  <c r="C31" i="7"/>
  <c r="C32" i="7" s="1"/>
  <c r="D101" i="6"/>
  <c r="K69" i="7"/>
  <c r="D102" i="6" s="1"/>
  <c r="L17" i="7"/>
  <c r="M17" i="7" s="1"/>
  <c r="L8" i="7"/>
  <c r="M8" i="7" s="1"/>
  <c r="L10" i="7"/>
  <c r="M10" i="7" s="1"/>
  <c r="L11" i="7"/>
  <c r="N18" i="7"/>
  <c r="Q18" i="7" s="1"/>
  <c r="N17" i="7"/>
  <c r="C37" i="7"/>
  <c r="L34" i="7"/>
  <c r="E93" i="6" s="1"/>
  <c r="K34" i="7"/>
  <c r="N7" i="7"/>
  <c r="N8" i="7"/>
  <c r="Q8" i="7" s="1"/>
  <c r="K8" i="7" l="1"/>
  <c r="K11" i="7"/>
  <c r="K10" i="7"/>
  <c r="L189" i="7"/>
  <c r="D17" i="6"/>
  <c r="D15" i="6" s="1"/>
  <c r="C11" i="7" s="1"/>
  <c r="C62" i="7"/>
  <c r="D93" i="6"/>
  <c r="E65" i="6"/>
  <c r="K118" i="7"/>
  <c r="K119" i="7" s="1"/>
  <c r="E66" i="6"/>
  <c r="D66" i="6"/>
  <c r="K55" i="7"/>
  <c r="K56" i="7" s="1"/>
  <c r="D65" i="6"/>
  <c r="K62" i="7"/>
  <c r="D76" i="6"/>
  <c r="K74" i="7"/>
  <c r="K75" i="7" s="1"/>
  <c r="O17" i="7"/>
  <c r="P17" i="7" s="1"/>
  <c r="Q17" i="7" s="1"/>
  <c r="L7" i="7"/>
  <c r="M7" i="7" s="1"/>
  <c r="D62" i="7"/>
  <c r="E45" i="6"/>
  <c r="D100" i="6"/>
  <c r="D45" i="6"/>
  <c r="M23" i="7" l="1"/>
  <c r="D38" i="7" s="1"/>
  <c r="E69" i="6" s="1"/>
  <c r="K16" i="7"/>
  <c r="C23" i="7"/>
  <c r="D75" i="6" s="1"/>
  <c r="C14" i="7"/>
  <c r="K111" i="7" s="1"/>
  <c r="C45" i="7"/>
  <c r="C48" i="7" s="1"/>
  <c r="L62" i="7"/>
  <c r="D48" i="7" s="1"/>
  <c r="E76" i="6"/>
  <c r="F76" i="6" s="1"/>
  <c r="D103" i="6"/>
  <c r="Q23" i="7"/>
  <c r="O7" i="7"/>
  <c r="P7" i="7" s="1"/>
  <c r="Q7" i="7" s="1"/>
  <c r="I23" i="5"/>
  <c r="J23" i="5" s="1"/>
  <c r="I16" i="5"/>
  <c r="J3" i="5"/>
  <c r="I17" i="5" s="1"/>
  <c r="I13" i="5"/>
  <c r="K2" i="5"/>
  <c r="J11" i="5"/>
  <c r="K3" i="5"/>
  <c r="I7" i="5"/>
  <c r="I9" i="5" s="1"/>
  <c r="I6" i="5"/>
  <c r="L188" i="7" l="1"/>
  <c r="E83" i="6"/>
  <c r="K52" i="7"/>
  <c r="K53" i="7"/>
  <c r="K189" i="7"/>
  <c r="O193" i="7" s="1"/>
  <c r="K188" i="7"/>
  <c r="D83" i="6"/>
  <c r="C30" i="7"/>
  <c r="D67" i="6"/>
  <c r="C46" i="7"/>
  <c r="K78" i="7"/>
  <c r="K80" i="7" s="1"/>
  <c r="K114" i="7"/>
  <c r="I18" i="5"/>
  <c r="H22" i="5" s="1"/>
  <c r="M13" i="7"/>
  <c r="C38" i="7" s="1"/>
  <c r="K41" i="7"/>
  <c r="C29" i="7"/>
  <c r="C33" i="7" s="1"/>
  <c r="K7" i="7"/>
  <c r="F45" i="6"/>
  <c r="I22" i="5"/>
  <c r="J22" i="5" s="1"/>
  <c r="C34" i="7" l="1"/>
  <c r="K102" i="7"/>
  <c r="O192" i="7"/>
  <c r="O194" i="7" s="1"/>
  <c r="K194" i="7" s="1"/>
  <c r="K190" i="7"/>
  <c r="K200" i="7" s="1"/>
  <c r="K105" i="7"/>
  <c r="K107" i="7" s="1"/>
  <c r="K116" i="7" s="1"/>
  <c r="D55" i="6"/>
  <c r="N193" i="7"/>
  <c r="N192" i="7"/>
  <c r="K113" i="7"/>
  <c r="K112" i="7"/>
  <c r="K18" i="7"/>
  <c r="D77" i="6"/>
  <c r="D69" i="6"/>
  <c r="K201" i="7" l="1"/>
  <c r="N194" i="7"/>
  <c r="K193" i="7" s="1"/>
  <c r="D54" i="7"/>
  <c r="D41" i="7"/>
  <c r="E70" i="6" s="1"/>
  <c r="K17" i="7"/>
  <c r="K23" i="7" s="1"/>
  <c r="K13" i="7"/>
  <c r="Q13" i="7"/>
  <c r="C41" i="7" s="1"/>
  <c r="D70" i="6" s="1"/>
  <c r="D42" i="7" l="1"/>
  <c r="L120" i="7" s="1"/>
  <c r="E74" i="6" s="1"/>
  <c r="C42" i="7"/>
  <c r="C43" i="7" s="1"/>
  <c r="D78" i="6" s="1"/>
  <c r="L200" i="7"/>
  <c r="U199" i="7" s="1"/>
  <c r="D80" i="6" s="1"/>
  <c r="F81" i="6"/>
  <c r="C54" i="7"/>
  <c r="E71" i="6" l="1"/>
  <c r="K103" i="7"/>
  <c r="K104" i="7" s="1"/>
  <c r="K108" i="7" s="1"/>
  <c r="K120" i="7"/>
  <c r="D74" i="6" s="1"/>
  <c r="F74" i="6" s="1"/>
  <c r="D71" i="6"/>
  <c r="K115" i="7"/>
  <c r="K117" i="7" s="1"/>
  <c r="K49" i="7"/>
  <c r="K50" i="7" s="1"/>
  <c r="K57" i="7" s="1"/>
  <c r="K59" i="7" s="1"/>
  <c r="L201" i="7"/>
  <c r="D85" i="6" s="1"/>
  <c r="K51" i="7" l="1"/>
  <c r="K58" i="7" s="1"/>
  <c r="C49" i="7" s="1"/>
  <c r="D84" i="6" s="1"/>
  <c r="U202" i="7"/>
  <c r="C53" i="7"/>
  <c r="D73" i="6"/>
  <c r="D72" i="6" s="1"/>
  <c r="K121" i="7"/>
  <c r="K122" i="7" l="1"/>
  <c r="K60" i="7"/>
  <c r="C50" i="7"/>
  <c r="C58" i="7" s="1"/>
  <c r="C60" i="7"/>
  <c r="D91" i="6" s="1"/>
  <c r="D89" i="6" l="1"/>
  <c r="C59" i="7"/>
  <c r="D90" i="6" s="1"/>
  <c r="C56" i="7"/>
  <c r="C57" i="7" s="1"/>
  <c r="D88" i="6" s="1"/>
  <c r="C61" i="7"/>
  <c r="D92" i="6" s="1"/>
  <c r="D87" i="6" l="1"/>
  <c r="F93" i="6"/>
  <c r="L78" i="7"/>
  <c r="L80" i="7" s="1"/>
  <c r="D30" i="7" l="1"/>
  <c r="L111" i="7"/>
  <c r="L114" i="7" s="1"/>
  <c r="D46" i="7"/>
  <c r="L105" i="7" s="1"/>
  <c r="E67" i="6"/>
  <c r="D34" i="7" l="1"/>
  <c r="D43" i="7" s="1"/>
  <c r="L102" i="7"/>
  <c r="L103" i="7" s="1"/>
  <c r="L104" i="7" s="1"/>
  <c r="L115" i="7"/>
  <c r="L113" i="7"/>
  <c r="L112" i="7"/>
  <c r="L49" i="7" l="1"/>
  <c r="L50" i="7" s="1"/>
  <c r="L51" i="7" s="1"/>
  <c r="L58" i="7" s="1"/>
  <c r="L60" i="7" s="1"/>
  <c r="E78" i="6"/>
  <c r="E29" i="6"/>
  <c r="L69" i="7"/>
  <c r="D29" i="7"/>
  <c r="L107" i="7"/>
  <c r="L57" i="7" l="1"/>
  <c r="L59" i="7" s="1"/>
  <c r="D33" i="7"/>
  <c r="E77" i="6" s="1"/>
  <c r="Q192" i="7"/>
  <c r="L190" i="7"/>
  <c r="N200" i="7" s="1"/>
  <c r="R192" i="7"/>
  <c r="L116" i="7"/>
  <c r="L117" i="7" s="1"/>
  <c r="E73" i="6" s="1"/>
  <c r="L108" i="7"/>
  <c r="Q193" i="7"/>
  <c r="R193" i="7"/>
  <c r="L74" i="7"/>
  <c r="L75" i="7" s="1"/>
  <c r="E102" i="6"/>
  <c r="E55" i="6"/>
  <c r="F83" i="6"/>
  <c r="E75" i="6"/>
  <c r="L41" i="7"/>
  <c r="E103" i="6" l="1"/>
  <c r="F103" i="6" s="1"/>
  <c r="D49" i="7"/>
  <c r="N201" i="7"/>
  <c r="L121" i="7"/>
  <c r="L122" i="7" s="1"/>
  <c r="R194" i="7"/>
  <c r="L194" i="7" s="1"/>
  <c r="Q194" i="7"/>
  <c r="L193" i="7" s="1"/>
  <c r="O200" i="7" l="1"/>
  <c r="E84" i="6"/>
  <c r="D60" i="7"/>
  <c r="E72" i="6"/>
  <c r="F72" i="6" s="1"/>
  <c r="F73" i="6"/>
  <c r="O201" i="7" l="1"/>
  <c r="E85" i="6" s="1"/>
  <c r="V199" i="7"/>
  <c r="E80" i="6" s="1"/>
  <c r="F84" i="6"/>
  <c r="D61" i="7"/>
  <c r="E92" i="6" s="1"/>
  <c r="F92" i="6" s="1"/>
  <c r="E91" i="6"/>
  <c r="F91" i="6" s="1"/>
  <c r="D53" i="7" l="1"/>
  <c r="V202" i="7"/>
  <c r="F80" i="6"/>
  <c r="F85" i="6" l="1"/>
  <c r="D50" i="7"/>
  <c r="D56" i="7" l="1"/>
  <c r="D58" i="7"/>
  <c r="D59" i="7" l="1"/>
  <c r="E90" i="6" s="1"/>
  <c r="F90" i="6" s="1"/>
  <c r="E89" i="6"/>
  <c r="F89" i="6" s="1"/>
  <c r="E87" i="6"/>
  <c r="F87" i="6" s="1"/>
  <c r="D57" i="7"/>
  <c r="E88" i="6" s="1"/>
  <c r="F88" i="6" s="1"/>
</calcChain>
</file>

<file path=xl/sharedStrings.xml><?xml version="1.0" encoding="utf-8"?>
<sst xmlns="http://schemas.openxmlformats.org/spreadsheetml/2006/main" count="883" uniqueCount="617">
  <si>
    <t>PRIMARY CARE FIRST REVENUE CALCULATOR</t>
  </si>
  <si>
    <t>Grey Background = Protected/Output Fields</t>
  </si>
  <si>
    <t>White Background = Practice  Input Variables</t>
  </si>
  <si>
    <t>Yellow Background = PCF Variables</t>
  </si>
  <si>
    <t>Blue Dotted Background = Optional Inputs</t>
  </si>
  <si>
    <t>Green Background = Important Revenue Outputs</t>
  </si>
  <si>
    <t>Orange Background = CPC+ Variables</t>
  </si>
  <si>
    <t>Calculator Inputs: PCF/MCR FFS/CPC+</t>
  </si>
  <si>
    <t>Custom Case Scenario #1</t>
  </si>
  <si>
    <t>Custom Case Scenario #2</t>
  </si>
  <si>
    <t xml:space="preserve">     Impact:              #1 vs. #2</t>
  </si>
  <si>
    <t>Practice Derived Input Data</t>
  </si>
  <si>
    <t>Number of FTE Providers</t>
  </si>
  <si>
    <t>Patient Attribution</t>
  </si>
  <si>
    <t>Total Patient Attribution (Practice Data, All Payers)</t>
  </si>
  <si>
    <t>Medicare Pt Attribution--Percent (Practice Data)</t>
  </si>
  <si>
    <t>Medicare Pt Attribution--Practice Data</t>
  </si>
  <si>
    <t>Alignment Adjustment: PCF MCR Pts Attribution Concordance</t>
  </si>
  <si>
    <t>Medicare Pt Attribution--Adjusted per MCR "Alignment"</t>
  </si>
  <si>
    <t>Leakage Adjustment: % PCF-attributed Pts OV/yr by non-PCF PCPs</t>
  </si>
  <si>
    <t>Co-Insurance Waiver (percent of PCF aligned pts)</t>
  </si>
  <si>
    <t>Office Visits per Year</t>
  </si>
  <si>
    <t xml:space="preserve">Average Visits/Medicare Pt/yr </t>
  </si>
  <si>
    <t>PCF Care Management Impact on OV/yr</t>
  </si>
  <si>
    <t>Medicare FFS Inputs</t>
  </si>
  <si>
    <t>Average Medicare Pt FFS pmt/OV (includes Co-Insurance payment)</t>
  </si>
  <si>
    <r>
      <t>Avg MCR Pt FFS pm/OV (incl. Co-Ins. Payment; Practice Data)--</t>
    </r>
    <r>
      <rPr>
        <b/>
        <sz val="12"/>
        <color theme="1"/>
        <rFont val="Calibri"/>
        <family val="2"/>
        <scheme val="minor"/>
      </rPr>
      <t>OPTIONAL</t>
    </r>
  </si>
  <si>
    <t>Avg MCR Pt FFS pm/OV (incl. Co-Ins. Payment)--DEFAULT</t>
  </si>
  <si>
    <t>Medicare Patients eligible/billed for CCM PBPM payment (percent)</t>
  </si>
  <si>
    <t>Primary Care First Input Data</t>
  </si>
  <si>
    <t>Practice Risk Group (Average HCC Risk)</t>
  </si>
  <si>
    <t>PRACTICE Performance:  Gateways</t>
  </si>
  <si>
    <t>Quality Gateway: Meet or Exceed (note: options vary by year):</t>
  </si>
  <si>
    <t>Y</t>
  </si>
  <si>
    <t>PRACTICE Performance:  Percentiles</t>
  </si>
  <si>
    <t>Regional Continuous Improvement Performance</t>
  </si>
  <si>
    <t>Incremental Higher Risk Patient Impact</t>
  </si>
  <si>
    <t>Number of Additional Higher Risk Patients (non-SIP)</t>
  </si>
  <si>
    <t>Additional High Risk Patients (non-SIP): Risk Group</t>
  </si>
  <si>
    <t>PCF Practice Additional Overhead (cf. MCR FFS)</t>
  </si>
  <si>
    <t>Care Manager: total comp</t>
  </si>
  <si>
    <t>(Examples roles and total $/yr)</t>
  </si>
  <si>
    <t>Add'l Staff (MA's or): total comp</t>
  </si>
  <si>
    <t>Non Revenue Operations (e.g., QI mtgs)</t>
  </si>
  <si>
    <t>Non Revenue Leadership (physician)</t>
  </si>
  <si>
    <t>Other</t>
  </si>
  <si>
    <t>TOTAL Incremental Practice Overhead for PCF</t>
  </si>
  <si>
    <t>CPC+ Practice Input Data</t>
  </si>
  <si>
    <t>CPC+ Practice Track</t>
  </si>
  <si>
    <t>Care Management Fee</t>
  </si>
  <si>
    <t>Number Attributed MCR patients (CMS  CPC+ Methodology--Line 12)</t>
  </si>
  <si>
    <t>Attributed Pts CPC+ Risk Tier 1</t>
  </si>
  <si>
    <t>Attributed Pts CPC+ Risk Tier 2</t>
  </si>
  <si>
    <t>Attributed Pts CPC+ Risk Tier 3</t>
  </si>
  <si>
    <t>Attributed Pts CPC+ Risk Tier 4</t>
  </si>
  <si>
    <t>Attributed Pts CPC+ Risk Tier 5 (Track 2 only)</t>
  </si>
  <si>
    <t>(Attribution Percentages for Risk Tiers 1-5 must total 100%)</t>
  </si>
  <si>
    <t>CPC+ Physician Fee Schedule &amp; Hybrid Payments</t>
  </si>
  <si>
    <t>Historical FFS PBPM Annualized</t>
  </si>
  <si>
    <t>Track 2 Hybrid Payment Option Selected</t>
  </si>
  <si>
    <t>40%/60%</t>
  </si>
  <si>
    <t>Performance-Based Incentive Payments (PBIP)</t>
  </si>
  <si>
    <t>Quality Performance (Min/Max Benchmarks)</t>
  </si>
  <si>
    <t>Utilization Performance (Percentile Ranking)</t>
  </si>
  <si>
    <t>Calculator Outputs:  PCF, Medicare FFS &amp; CPC+</t>
  </si>
  <si>
    <t>Outputs</t>
  </si>
  <si>
    <t>Modeling Outputs</t>
  </si>
  <si>
    <t>Medicare Pt Attribution w/Leakage Adjustment</t>
  </si>
  <si>
    <t>Patient Attribution--Final</t>
  </si>
  <si>
    <t>Medicare Pt Attribution w/Alignment &amp; Leakage Adjustments</t>
  </si>
  <si>
    <t>Average Visits/PCF Pt per Year (w/Enhanced Care Mnmt)</t>
  </si>
  <si>
    <t>PCF PRACTICE Performance Adjustments</t>
  </si>
  <si>
    <t>TOTAL Performance Based Adjustment (PBA)</t>
  </si>
  <si>
    <t>PPBP HCC-adjusted w/PBA per Year</t>
  </si>
  <si>
    <t>Medicare FFS "PBPM Equivalent"</t>
  </si>
  <si>
    <t>Medicare CCM Fee Revenue/year</t>
  </si>
  <si>
    <t>Total Primary Care Payment PBPM (TPCP)--prior to PBA</t>
  </si>
  <si>
    <t>CPC+ Revenue Details</t>
  </si>
  <si>
    <t>Payment under the Physician Fee Schedule (FFS and CPCP/Discounted FFS)</t>
  </si>
  <si>
    <t>Performance-Based Incentive Payment (PBIP) Revenue</t>
  </si>
  <si>
    <t xml:space="preserve">Medicare FFS   </t>
  </si>
  <si>
    <t xml:space="preserve">Primary Care First   </t>
  </si>
  <si>
    <t xml:space="preserve">CPC+   </t>
  </si>
  <si>
    <t>NOTE: Additional Overhead to Support PCF Functions</t>
  </si>
  <si>
    <t>Seriously Ill Population &amp; PCF:  REVENUE CALCULATOR</t>
  </si>
  <si>
    <t>Seriously Ill Populations &amp; PCF</t>
  </si>
  <si>
    <t>Avg. Number of SIP Patients/12 Months</t>
  </si>
  <si>
    <t>(PCF Payment Model Option 3)</t>
  </si>
  <si>
    <t>Performance Criteria Met?  (Attribution Length &amp; Transition Success)</t>
  </si>
  <si>
    <t>SIP Quality Measures Performance</t>
  </si>
  <si>
    <t>High</t>
  </si>
  <si>
    <t>Withhold &amp; Quality Adjustment Impact (PBPM)</t>
  </si>
  <si>
    <t>Adjusted SIP PBPM</t>
  </si>
  <si>
    <t>SIP Flat Office Visit Fee ($40.82 + $18 Co-Ins) Revenue/yr</t>
  </si>
  <si>
    <t>Incremental Revenue/yr (SIP Patients)</t>
  </si>
  <si>
    <t>Primary Care First Revenue: Algorithms &amp; Reference Tables</t>
  </si>
  <si>
    <t>Variables</t>
  </si>
  <si>
    <t>Assumptions/Reference Data  (do not change)</t>
  </si>
  <si>
    <t>Calculator Design &amp; Reference Algorithms                           (do not change)</t>
  </si>
  <si>
    <t>Practice Characteristics</t>
  </si>
  <si>
    <t>TEST</t>
  </si>
  <si>
    <t>*Algorithm Design Comments:</t>
  </si>
  <si>
    <t># FTE Providers</t>
  </si>
  <si>
    <t>Final PBA*</t>
  </si>
  <si>
    <t>Region. Adjust</t>
  </si>
  <si>
    <t>Final Reg. Adj</t>
  </si>
  <si>
    <t>CI Adjust</t>
  </si>
  <si>
    <t>Max CI</t>
  </si>
  <si>
    <t>Corrected CI</t>
  </si>
  <si>
    <t>Final CI</t>
  </si>
  <si>
    <t>Average MCR FFS payment (National)</t>
  </si>
  <si>
    <t>Average MCR Patient's Co-Insurance payment</t>
  </si>
  <si>
    <t>Average MCR OV/Year Risk Grp 1 (National)</t>
  </si>
  <si>
    <t>Medicare CCM PBPM</t>
  </si>
  <si>
    <t>Practice Risk Groups (Based on Avg HCC)</t>
  </si>
  <si>
    <t>PBPM</t>
  </si>
  <si>
    <t>Total PBA as % TPCP</t>
  </si>
  <si>
    <t>PCF Practice Risk Group</t>
  </si>
  <si>
    <t>Final PBA</t>
  </si>
  <si>
    <t>Final Coh Adj</t>
  </si>
  <si>
    <t>MCR FFS Modeling</t>
  </si>
  <si>
    <t>Average MCR FFS Est Pt payment (Final)</t>
  </si>
  <si>
    <t>Average MCR FFS Est Pt payment (National)</t>
  </si>
  <si>
    <t>Medicare Pts eligible/billed for CCM PBPM payment (percent)</t>
  </si>
  <si>
    <t>MCR FFS "PMPM Equivalent"</t>
  </si>
  <si>
    <t>PCF Payment Modeling</t>
  </si>
  <si>
    <t>Quality Gateway:  Met or Exceeded (or NA)?</t>
  </si>
  <si>
    <t xml:space="preserve">Custom Case </t>
  </si>
  <si>
    <t>PCF Add'l Overhead (examples, $ per year)</t>
  </si>
  <si>
    <t>Scenario #1</t>
  </si>
  <si>
    <t>Scenario #2</t>
  </si>
  <si>
    <t>C adjust</t>
  </si>
  <si>
    <t>Professional Pop-Based Payment (PPBP)/mo--Risk-Adjusted</t>
  </si>
  <si>
    <r>
      <t xml:space="preserve">Total Primary Care Payment PBPM + Co-Ins, prior to PBA </t>
    </r>
    <r>
      <rPr>
        <sz val="12"/>
        <color theme="1"/>
        <rFont val="Calibri (Body)"/>
      </rPr>
      <t>(w/CM Adj)</t>
    </r>
  </si>
  <si>
    <t>PCF Practice Performance</t>
  </si>
  <si>
    <t>TOTAL</t>
  </si>
  <si>
    <t>Beneficiary Attribution Adjustment</t>
  </si>
  <si>
    <t>Default (National Data)</t>
  </si>
  <si>
    <t>PCF Attribution Concordance (practice-specific)</t>
  </si>
  <si>
    <t>Percent Non-Attributed MCR Patients</t>
  </si>
  <si>
    <t>Number Non-Attributed MCR Patients</t>
  </si>
  <si>
    <t>PCF Practice Revenue from Non-Attrib. MCR Pts</t>
  </si>
  <si>
    <t>Medicare Office Visits</t>
  </si>
  <si>
    <r>
      <t>MCR Patient OV/year</t>
    </r>
    <r>
      <rPr>
        <sz val="12"/>
        <color theme="1"/>
        <rFont val="Calibri (Body)"/>
      </rPr>
      <t xml:space="preserve"> (w/Leak Adj)</t>
    </r>
  </si>
  <si>
    <t>Higher Risk Patient Impact (non-SIP)</t>
  </si>
  <si>
    <r>
      <t xml:space="preserve">PCF Patient OV/year </t>
    </r>
    <r>
      <rPr>
        <sz val="12"/>
        <color theme="1"/>
        <rFont val="Calibri (Body)"/>
      </rPr>
      <t>(w/Leak, Align, CM Adj)</t>
    </r>
  </si>
  <si>
    <t>Number of additional Higher Risk Patients</t>
  </si>
  <si>
    <t>Higher risk pts are assumed have HCC scores &gt;1.5 and that all these patients would qualify for CCM monthly fees of $42/patient.  Comparing impact of these incremental higher risk patients under MCR FFS and PCF, the same number of HCC-adjusted OV's per patient are used for each payment model.</t>
  </si>
  <si>
    <t>Risk Group</t>
  </si>
  <si>
    <t xml:space="preserve"> </t>
  </si>
  <si>
    <t>HCC Group</t>
  </si>
  <si>
    <t>#OV/yr per HCC risk level</t>
  </si>
  <si>
    <t>FFS per OV (MCR)</t>
  </si>
  <si>
    <t>TPCP x PBA PBPM (PCF)</t>
  </si>
  <si>
    <t>CMF PBPM Average</t>
  </si>
  <si>
    <t>TPCP x PBA total revenue/mo</t>
  </si>
  <si>
    <t>Physician Payment Schedule (FFS and CPCP/Discounted FFS)</t>
  </si>
  <si>
    <t>TPCP x PBA total revenue/yr</t>
  </si>
  <si>
    <t>Co-Ins total revenue/mo</t>
  </si>
  <si>
    <t>PCF Business Case (vs. CPC+ and MCR FFS)</t>
  </si>
  <si>
    <t>Co-Ins total revenue/yr</t>
  </si>
  <si>
    <t>Medicare CCM PBPM for High Risk Patients</t>
  </si>
  <si>
    <t>Incremental Revenue/mo (MCR FFS)</t>
  </si>
  <si>
    <t>Incremental Revenue/yr (MCR FFS)</t>
  </si>
  <si>
    <t>Total Incremental Revenue/mo (PCF)</t>
  </si>
  <si>
    <t>Total Incremental Revenue/yr (PCF)</t>
  </si>
  <si>
    <t>DELTA MCR-PCF/mo</t>
  </si>
  <si>
    <t>DELTA MCR-PCF/yr</t>
  </si>
  <si>
    <t>NOTES:</t>
  </si>
  <si>
    <t>MCR CCM Fee Revenue/year</t>
  </si>
  <si>
    <t>PCF Option 3:  PCF &amp; Seriously Ill Population</t>
  </si>
  <si>
    <t>High Need Patient Population Payment Model</t>
  </si>
  <si>
    <t xml:space="preserve">Performance Criteria Met? </t>
  </si>
  <si>
    <t xml:space="preserve"> Both Attribution Length &amp; Transition Success</t>
  </si>
  <si>
    <t>Quality Adjustment Performance</t>
  </si>
  <si>
    <t>Satisfactory</t>
  </si>
  <si>
    <t>Low</t>
  </si>
  <si>
    <t>Initial Office Visit Fee</t>
  </si>
  <si>
    <t>SIP Flat Office Visit Fee Revenue/yr</t>
  </si>
  <si>
    <t>Average Length of SIP Attribution:  Goal is &lt;= 8 months</t>
  </si>
  <si>
    <t>SIP PBPM</t>
  </si>
  <si>
    <t>SIP PBPM (after Withhold)</t>
  </si>
  <si>
    <t>Withhold and Quality Adjustment (SIP PBPM)</t>
  </si>
  <si>
    <t>Practice fails to meet the SIP Performance Criteria (thresholds): no Withhold of Quality payments.</t>
  </si>
  <si>
    <t>Practice meets the SIP Performance Criteria:  If Quality is Satisfactory, then Practice receives the $50 PBPM Withhold only; If Quality is high, the Practice receives both the $50 PBPM Withhold and $50 Quality Bonus ($100 PBPM total)</t>
  </si>
  <si>
    <t>Incremental Revenue/mo (SIP Patients)</t>
  </si>
  <si>
    <t>PCP Leakage Adjustment</t>
  </si>
  <si>
    <t>Total PCF attrib Pts OV/yr at PCF Practice</t>
  </si>
  <si>
    <t>% PCF attrib Pts OV/yr at non-PCF PCPs Pract.</t>
  </si>
  <si>
    <t>This is the leakage percent.</t>
  </si>
  <si>
    <t># OV/yr/Attrib Pts: PCF practice (w/Leakage)</t>
  </si>
  <si>
    <t>% OV/yr/Attrib Pts: PCF practice vs. all PCPs</t>
  </si>
  <si>
    <t>This percent reflects the practice attributed pts actually seen by the PCF practice.</t>
  </si>
  <si>
    <t>Estimated Risk Adjusted OVs/yr</t>
  </si>
  <si>
    <t xml:space="preserve">RFA </t>
  </si>
  <si>
    <t xml:space="preserve">Est PBPM </t>
  </si>
  <si>
    <t>Est</t>
  </si>
  <si>
    <t>Calc'd</t>
  </si>
  <si>
    <t>Practice Risk Group</t>
  </si>
  <si>
    <t>OV/yr*</t>
  </si>
  <si>
    <t>Total MCR FFS</t>
  </si>
  <si>
    <t>CPT (est. pmt)</t>
  </si>
  <si>
    <t>MCR FFS Pmt</t>
  </si>
  <si>
    <t>Co-Ins Pmt</t>
  </si>
  <si>
    <t>HCC Avg</t>
  </si>
  <si>
    <t>Value FOV*</t>
  </si>
  <si>
    <t>Total PBPM</t>
  </si>
  <si>
    <t>Est OV/yr**</t>
  </si>
  <si>
    <t>&lt;1.2</t>
  </si>
  <si>
    <t>1.2-1.5</t>
  </si>
  <si>
    <t>1.5-2.0</t>
  </si>
  <si>
    <t>&gt;2.0</t>
  </si>
  <si>
    <t>*Based on Est PBPM value of Flat OV (RFA p21)</t>
  </si>
  <si>
    <t>*Per PCF RFA p21 10.24.19</t>
  </si>
  <si>
    <t>**FOV ($40.82) + CoPay (~$18) =</t>
  </si>
  <si>
    <t>Adjustment Scenario References</t>
  </si>
  <si>
    <t>Options</t>
  </si>
  <si>
    <t>Co-Insurance Waiver</t>
  </si>
  <si>
    <t>TPCP PBPM--prior to PBA (w/CM Adj)--no Co-Ins</t>
  </si>
  <si>
    <t>TPCP PBPM--w/PBA (w/CM Adj)--no Co-Ins</t>
  </si>
  <si>
    <t>TPCP PBPM--w/PBA (w/CM Adj, Align, Leak) w/o Co-Ins/yr</t>
  </si>
  <si>
    <t>Total PCF Co-Insurance revenue/OV/year (no waiver)</t>
  </si>
  <si>
    <t>Co-Insurance Waiver Percent (of PCF aligned pts)</t>
  </si>
  <si>
    <t>Total PCF Co-Insurance revenue/year less WAIVER</t>
  </si>
  <si>
    <t>PCF Rev/yr (PBA, Align,Leak, CM)</t>
  </si>
  <si>
    <t>Gross FOV Fees and Gross PBP Revenue per Year</t>
  </si>
  <si>
    <t>Number of PCF Aligned Patient Visits per year</t>
  </si>
  <si>
    <t>Number of PCF Pts/yr w/ Co-Ins</t>
  </si>
  <si>
    <t>Number of PCF Pts/yr WITH Co-Ins Waiver</t>
  </si>
  <si>
    <t>MCR Pt Attribution w/Alignment &amp; Leakage Adj</t>
  </si>
  <si>
    <t>Total Gross HCC-adjusted PPBP per Year</t>
  </si>
  <si>
    <t>Total Gross HCC-adjusted PPBP x PBA per Year</t>
  </si>
  <si>
    <t>Subotal Gross PCF Rev w/PBA</t>
  </si>
  <si>
    <t>Total PCF Rev/yr w/PBA, Align, Leak, +/-Waiver</t>
  </si>
  <si>
    <t>CPC+ Algorithms</t>
  </si>
  <si>
    <t>Risk Tier</t>
  </si>
  <si>
    <t>Risk Score Criteria</t>
  </si>
  <si>
    <t>Track 1</t>
  </si>
  <si>
    <t>Track 2</t>
  </si>
  <si>
    <t>CMF Total Track 1</t>
  </si>
  <si>
    <t>CMF Total Track 2</t>
  </si>
  <si>
    <t>Tier 1</t>
  </si>
  <si>
    <t>Risk score &lt; 25%ile</t>
  </si>
  <si>
    <t>Tier 2</t>
  </si>
  <si>
    <t xml:space="preserve">Risk score &gt;=25%ile but &lt; 50%ile </t>
  </si>
  <si>
    <t>Tier 3</t>
  </si>
  <si>
    <t xml:space="preserve">Risk Score &gt;=50%ile but &lt;75%ile </t>
  </si>
  <si>
    <t>Tier 4 (Track 1)</t>
  </si>
  <si>
    <t xml:space="preserve">Risk score ≥75%ile </t>
  </si>
  <si>
    <t>N/A</t>
  </si>
  <si>
    <t>Tier 4 (Track 2)</t>
  </si>
  <si>
    <t>Risk Score &gt;=75%ile but &lt;90%ile</t>
  </si>
  <si>
    <t>Tier 5 (Track 2)</t>
  </si>
  <si>
    <t>Risk score ≥ 90%ile or dementia</t>
  </si>
  <si>
    <t>CMF PBPM Av</t>
  </si>
  <si>
    <t>CMF/month</t>
  </si>
  <si>
    <t>CMF/year</t>
  </si>
  <si>
    <t>Performance Based Incentive Payments</t>
  </si>
  <si>
    <t>PBPM $ PBIP Retained</t>
  </si>
  <si>
    <t>Practice</t>
  </si>
  <si>
    <t>% PBIP Retained</t>
  </si>
  <si>
    <t>Measure Score</t>
  </si>
  <si>
    <t>PEC % Pmt</t>
  </si>
  <si>
    <t>Min (30%ile)</t>
  </si>
  <si>
    <t>Max (70%ile)</t>
  </si>
  <si>
    <t>Max-Min</t>
  </si>
  <si>
    <t>Perf %ile</t>
  </si>
  <si>
    <t>Raw Pmt %</t>
  </si>
  <si>
    <t>Max Pie % Q</t>
  </si>
  <si>
    <t>eCQM (DM) % Pmt</t>
  </si>
  <si>
    <t>eCQM (BP) % Pmt</t>
  </si>
  <si>
    <t>Min (50%ile)</t>
  </si>
  <si>
    <t>Max (80%ile)</t>
  </si>
  <si>
    <t>EDU % Pmt</t>
  </si>
  <si>
    <t>Q Total PBPM</t>
  </si>
  <si>
    <t>U Total PBPM</t>
  </si>
  <si>
    <t>Total PBIP PBPM</t>
  </si>
  <si>
    <t>Quality PBIP Revenue PBPM</t>
  </si>
  <si>
    <t>Track 1 Q&gt;69% 2/3 Q PBPM</t>
  </si>
  <si>
    <t>Track 2 Q&gt;69% 2/3 Q PBPM</t>
  </si>
  <si>
    <t>Utilization PBIP Revenue PBPM</t>
  </si>
  <si>
    <t>Track 1 (Q&gt;29% 2/3) Util PBIB PBPM</t>
  </si>
  <si>
    <t>Track 2 (Q&gt;29% 2/3) Util PBIB PBPM</t>
  </si>
  <si>
    <t>Total Quality &amp; Utilization PBIP PBPM</t>
  </si>
  <si>
    <t>Total Track 1 PBIP PBPM</t>
  </si>
  <si>
    <t>Total Track 2 PBIP PBPM</t>
  </si>
  <si>
    <t>100% Quality Pmt and Utilization "Gateways"--Secnario #1</t>
  </si>
  <si>
    <t>100% Quality Pmt and Utilization "Gateways"--Secnario #2</t>
  </si>
  <si>
    <t>100% Q Pmt "Gateway"</t>
  </si>
  <si>
    <t>2/3 Q Measures &gt;=70%ile AND 3/3 &gt;=30%ile?   (Y, N)</t>
  </si>
  <si>
    <t>PEC &gt;=70%ile</t>
  </si>
  <si>
    <t>eCQM (DM) &gt;=70%ile</t>
  </si>
  <si>
    <t>eCQM (BP) &gt;=70%ile</t>
  </si>
  <si>
    <t>Any &lt;30%ile</t>
  </si>
  <si>
    <t>2/3 &gt;=70%ile</t>
  </si>
  <si>
    <t>2/3 Q Meas&gt;=70%ile AND 3/3 &gt;=30%ile?</t>
  </si>
  <si>
    <t>Utilization Pmt "Gateway"</t>
  </si>
  <si>
    <t>2/3 Q Measures &gt;=30%ile?  (Y,N)</t>
  </si>
  <si>
    <t>PEC &gt;=30%ile</t>
  </si>
  <si>
    <t>eCQM (DM) &gt;=30%ile</t>
  </si>
  <si>
    <t>eCQM (BP) &gt;=30%ile</t>
  </si>
  <si>
    <t># Q Meas&gt;=30%ile</t>
  </si>
  <si>
    <t>CPCP/FFS</t>
  </si>
  <si>
    <t>Senario #2</t>
  </si>
  <si>
    <t>Estimated Historical MCR FFS Revenue</t>
  </si>
  <si>
    <t>65%/35%</t>
  </si>
  <si>
    <t>Est Historical MCR FFS (less CCM Revenue)</t>
  </si>
  <si>
    <t>CPCP</t>
  </si>
  <si>
    <t>Track 1 Physician Fee Schedule Revenue</t>
  </si>
  <si>
    <t>Discount FFS</t>
  </si>
  <si>
    <t>Track 2 Hybrid Option Selection</t>
  </si>
  <si>
    <t>FFS</t>
  </si>
  <si>
    <t>Track 2 Hybrid Option:  65%/35%</t>
  </si>
  <si>
    <t>Hybrid Revenue</t>
  </si>
  <si>
    <t>Track 2 Hybrid Option:  40%/60%</t>
  </si>
  <si>
    <t>CPC+ Revenue by Payment Element and Track</t>
  </si>
  <si>
    <t>CMF Total</t>
  </si>
  <si>
    <t>PBIP Total</t>
  </si>
  <si>
    <t>FFS or CPCP/Discounted FFS Pmt</t>
  </si>
  <si>
    <t>Total CPC+ Revenue Per Track</t>
  </si>
  <si>
    <t>*= (CPCP + Discounted FFS) + Excluded E&amp;M FFS</t>
  </si>
  <si>
    <t>PBIP Performance Ranges</t>
  </si>
  <si>
    <t>PEC</t>
  </si>
  <si>
    <t>DM</t>
  </si>
  <si>
    <t>BP</t>
  </si>
  <si>
    <t>EDU</t>
  </si>
  <si>
    <t>Benchmark Min</t>
  </si>
  <si>
    <t>Benchmark Max</t>
  </si>
  <si>
    <t>Calculator Inputs</t>
  </si>
  <si>
    <t>Medicare Pt Attribution ("Alignment")--Practice Data</t>
  </si>
  <si>
    <t>PCF Patient Leakage Adjustment is the Percent of Total Office Visits by PCF-Attributed Patients that are billed Office Visits at Non-PCF Primary Care Practices per year (namely, the percent of primary care services for PCF-Attributed Patients not happening at the PCF Practice).  These "leakage patients" impact multiple Medicare FFS and PCF outputs including the number of office visits per year and yearly revenue calculations.</t>
  </si>
  <si>
    <t>CMS will permit practices to reduce or waive the applicable co-insurance (which will be based on the FFS rate for services provided), with practices responsible for covering those costs, for specific subset(s) of aligned Beneficiaries defined by the practice and approved by CMS.  This provision is intended to reduce a financial barrier to care for specified high need patients.  This data input field is for a practice to model the revenue impact of waiving the Co-Insurance fee for a subset (percent) of their aligned MCR patients (after adjustment for leakage).</t>
  </si>
  <si>
    <t>The DEFAULT average number of Office Visits (OV's) per year per beneficiary is based on national CMS data and is risk adjusted automatically.  Alternatively, the BLUE-SHADED input cell allows a practice to insert their own average beneficiary OV's per year based on practice-derived data.</t>
  </si>
  <si>
    <t>The DEFAULT Average Medicare Patient Fee-For-Service Payment per Office Visit is based on National data reflecting the average PCP payment per Medicare beneficiary per Office Visit ($93, inclusive of the Co-Insurance payment of $18).  Alternatively, the BLUE-SHADED cell allows the practice to enter their own averaged FFS Medicare payment per encounter (inclusive of the Co-Insurance payments).</t>
  </si>
  <si>
    <t>Medicare Patients eligible for CCM PBPM payment (percent)</t>
  </si>
  <si>
    <t>This field is for practices to enter the historical, estimated or projected percent of their Medicare patient panel eligible for the Chronic Care Management and PBPM fee ($42 PBPM) under the Medicare fee schedule.</t>
  </si>
  <si>
    <t>The Practice's Risk Group is determined by CMS and based on the practice-specific Medicare Panel Risk derived from the average aggregated HCC coding for the Practice's attributed ("aligned") Medicare patients.  Info from CMS indicates that a significant majority of PCF PCP practices will be assigned to risk stratified Group 1 ($28 Per Beneficiary Per Month or PBPM).</t>
  </si>
  <si>
    <t>Practice Risk Groups</t>
  </si>
  <si>
    <t>Avg. HCC/Practice</t>
  </si>
  <si>
    <t>HCC &lt;1.2</t>
  </si>
  <si>
    <t xml:space="preserve">Practice Performance </t>
  </si>
  <si>
    <t>Bonus % of TPCP*</t>
  </si>
  <si>
    <t>CI Bonus % of TPCP**</t>
  </si>
  <si>
    <t>Additional High Risk Patients (non-SIP): Risk Group (Average HCC)</t>
  </si>
  <si>
    <t>PCF Practice Additional Overhead (cf. MCR Practices)</t>
  </si>
  <si>
    <t>IMPORTANT</t>
  </si>
  <si>
    <t>To best leverage this Revenue Calculator, CPC+ practices should use their latest Data Feedback Tool report for baseline data input.  The PCF variables that drive performance (such as quality and utilization measures) can then be adjusted based on historical CPC+ program performance to build custom scenarios and to inform future revenue projections.</t>
  </si>
  <si>
    <t>CPC+ Track</t>
  </si>
  <si>
    <t>For the Program Year 2022 (the first year CPC+ practices can transition to and participate in PCF), the payment model variables impacted by Track are limited to the Care Management Fee PBPM Risk Tier payments, the Performance-Based Incentive Payment PBPM's (Quality and Utilization), and the Physician Payment Schedule--Full FFS or Hybrid (Comprehensive Primary Care Payment + Discounted FFS).</t>
  </si>
  <si>
    <t>Number Attributed MCR patients</t>
  </si>
  <si>
    <t>CPC+ Physician Fee Schedule and Hybrid Payments</t>
  </si>
  <si>
    <t>Track 2 practice must choose the percent of hybrid payments to be made through the CPCP &amp; Discounted FFS model.  For 2022, the Hybrid Options are CPCP/Discounted FFS 40%/60% or 65%/35%.  Although CPCP payments are based on all historical claims during the 2-year reference years, the calculations of discounted FFS payments do not include CCM billing (therefore, are based on historical claims, like CPCP, but minus historical CCM claims).</t>
  </si>
  <si>
    <t>This Revenue Calculator does not adjust for changes in CPC+ coinsurance revenue that may be experienced by Track 2 practices as a result of their efforts to transition some face-to-face encounters to non-visit and non-billed care (i.e., care that is to be incentivized by CPCP payments).  Also, the Calculator considers only CPC+ revenue from MCR as a comparator (not commercial payers participating in CPC+).  Finally, the Calculator does not include the outside-of-practice reconciliation impact on CPC+ revenues (positive or negative).  This reconciliation has been projected by CMS to apply to a "small minority of practices," reflects only significant changes (&gt;$2 PBPM but &lt;$7PBPM) in primary care services received outside of the CPC+ practice and the corresponding payment adjustments for outside-of-practice services are made 2 years after the program year.  Finally, how this reconciliation will apply to CPC+ practices that transition to PCF in 2022 has yet to be defined by CMS.</t>
  </si>
  <si>
    <t>Calculator Outputs</t>
  </si>
  <si>
    <t>CI Adjustment (Final)</t>
  </si>
  <si>
    <t>The Medicare "PBPM Equivalent" = the Average Medicare FFS payment per Beneficiary OV x the Average risk adjusted Medicare OV per Year/12 months. This figure is adjusted for the "leakage" effect.</t>
  </si>
  <si>
    <t>Yearly total of Professional Population-Based Payment modified by the Performance Based Adjustment percentage.</t>
  </si>
  <si>
    <t>This represents the business case for CPC+ practices switching to the PCF Program in 2022--namely, the difference between the CPC+ Revenue Total and the PCF Revenue per year (cells highlighted with GREEN background).  It is assumed that there will be no additional practice overhead required for CPC+ practices to successfully participation in PCF.</t>
  </si>
  <si>
    <t>This represents the business case for PCF participation by Medicare FFS practices or the difference between PCF revenue/yr and Medicare FFS revenue/yr (cells highlighted with GREEN background), accounting for the additional practice overhead that may be required for successful participation in PCF.</t>
  </si>
  <si>
    <t>Additional Overhead to Support PCF Functions</t>
  </si>
  <si>
    <t xml:space="preserve">A PCF Practice's total additional overhead, beyond that of a typical MCR FFS practice, required for successful participation in the PCF Program.  Examples may include full or part-time Care Manager, an additional MA to the care team, patient navigator, etc. These overhead costs do not apply to pre-existing "advance primary care" investments a CPC+ or other may have already made. </t>
  </si>
  <si>
    <t>PCF Payment Model Option 3</t>
  </si>
  <si>
    <t>If SIP Practice meets the performance criteria for both the Average Length of SIP Attribution and the Rate of Care Transitions Success, then it is eligible for return of the $50 withhold and for a $50 Q Bonus.</t>
  </si>
  <si>
    <t>High Quality (&gt;70th%): the practice gets the $50 withhold and $50 Q bonus</t>
  </si>
  <si>
    <t>Satisfactory Quality (50th-70th%):  $50 withhold paid but no Q Bonus</t>
  </si>
  <si>
    <t>Low Quality (&lt;50th%):  $50 withhold NOT paid, not eligible for Quality Bonus</t>
  </si>
  <si>
    <t>The incremental PBPM paid to the practice if it meets the Performance Criteria and according to its SIP Quality Measure Performance.</t>
  </si>
  <si>
    <t>The sum of the base SIP PBPM ($225) and the withhold and quality bonus, if any.</t>
  </si>
  <si>
    <t xml:space="preserve">Total incremental revenue for a PCF Practice also participating in SIP (PCF Payment Model Option 3). </t>
  </si>
  <si>
    <t>The projected additional yearly revenue from SIP patients, assigned and accepted by the practice, reflecting the SIP PBPM, the Flat Visit Fee revenue, the initial SIP OV fees, whether the practice met the Performance Criteria and how the practice performed on the SIP Quality Measures (to earn the $50 withhold and the $50 Quality Bonus).</t>
  </si>
  <si>
    <t>Validation of Calculator based on CMMI PCF Update Webinar 6.27.19, Slide 23.</t>
  </si>
  <si>
    <t>Flat Visit Fee</t>
  </si>
  <si>
    <t>SIP algorithm--for Option #3 (combined PCF and SIP)</t>
  </si>
  <si>
    <t>OV to PCF</t>
  </si>
  <si>
    <t>Add Flat Visit Fee CPT codes list</t>
  </si>
  <si>
    <t>OV to all PCPs</t>
  </si>
  <si>
    <t>Add to MCR modeling:</t>
  </si>
  <si>
    <t>MCR pmt/service</t>
  </si>
  <si>
    <t># services/yr</t>
  </si>
  <si>
    <t>Beneficiaries</t>
  </si>
  <si>
    <t>TCM</t>
  </si>
  <si>
    <t>OV/y/pt</t>
  </si>
  <si>
    <t>AWV</t>
  </si>
  <si>
    <t>Leakage</t>
  </si>
  <si>
    <t>WTM</t>
  </si>
  <si>
    <t>PPBM (RG 3)</t>
  </si>
  <si>
    <t>Add Risk Groups 4&amp;5 and SIP Q measures--update</t>
  </si>
  <si>
    <t>PPBM Adjust</t>
  </si>
  <si>
    <t>AHU, modernized CAHPS, Planned Care</t>
  </si>
  <si>
    <t>Not eCQM measures (DM A1C Poor Control, Controlling HBP, CRC Screening)</t>
  </si>
  <si>
    <t>Same leakage and RG adjusted PPBM for Calc and Slide 23.</t>
  </si>
  <si>
    <t>Applicable for years 2-5 only</t>
  </si>
  <si>
    <t>Add TPCP terminology--as in:</t>
  </si>
  <si>
    <t>Leak/risk PPBM</t>
  </si>
  <si>
    <t>DRE</t>
  </si>
  <si>
    <t>Same as CMMI calc slide 23 6.27.19</t>
  </si>
  <si>
    <t>PBP:  Continuous Improvement Adjustment--% of TPCP</t>
  </si>
  <si>
    <t>Same as CMMI PPBM $/Qtr based on 800 beneficiaries</t>
  </si>
  <si>
    <t>PBP:  Cohort Adjustment--% of TPCP</t>
  </si>
  <si>
    <t>Change PMPM to PBPM (professional population based payment)</t>
  </si>
  <si>
    <t>FVF/Qtr CMMI</t>
  </si>
  <si>
    <t>CMMI FVF Revenue/qtr based on 1200 OV (not 4240/4, or 1060, the correct number</t>
  </si>
  <si>
    <t>NOTE:  the PBPM x # Beneficiaries = Professional Population-Based Payment (PPBP)</t>
  </si>
  <si>
    <t>FVF/Qtr DRE</t>
  </si>
  <si>
    <t>Different re CMMI slide 23--altho they are using a quarter, the #OV they use is 1200 our of 4240 total PCF Ovs</t>
  </si>
  <si>
    <t>I used 25% of 4240, or 1060 OV in one quarter</t>
  </si>
  <si>
    <t>This matched the calulator output</t>
  </si>
  <si>
    <t>Their leakage calculation uses PCF visits bases on 4240/yr</t>
  </si>
  <si>
    <t>Their Flat Visit Fee uses a quarterly OV # of 1200 (or 4800/yr)</t>
  </si>
  <si>
    <t>Base Qtr pmt</t>
  </si>
  <si>
    <t>50% Adjust</t>
  </si>
  <si>
    <t>TPCP/qtr</t>
  </si>
  <si>
    <t>Not consistent math…</t>
  </si>
  <si>
    <t>SIP Model</t>
  </si>
  <si>
    <t>DRE Base Qtr</t>
  </si>
  <si>
    <t xml:space="preserve">This is based on 800 pts, 4240 PCF OV/yr </t>
  </si>
  <si>
    <t>1st Visit Fee</t>
  </si>
  <si>
    <t>CMMI Base/q</t>
  </si>
  <si>
    <t>This is based on 800 pts, 4240 PCF OV/yr but 1200 OV/qtr</t>
  </si>
  <si>
    <t>Quality Adjustment</t>
  </si>
  <si>
    <t>SIP notes:</t>
  </si>
  <si>
    <t>Practice must be forvide primary care services--directly or by partnering with a PCF Practice</t>
  </si>
  <si>
    <t>SIP patients must be linked to Primary Care or PCF practice after 12m</t>
  </si>
  <si>
    <t>Q Adjustment is either added to the PBPM or subtracted from the PBPM depending on performance</t>
  </si>
  <si>
    <t>Q Measures include AHU, CAHPS, and Advanced Care Plan (other measures are being evaluated)</t>
  </si>
  <si>
    <t xml:space="preserve">The Medicare Beneficiary (patient) attribution number per practice is the practice's total attributed patients (all payers) multiplied by the Medicare Beneficiaries percent. These input numbers can be modified in each Scenario  based on attribution data from the practice's management software.  Note that the PCF Medicare (MCR) beneficiary attribution (alignment) will be determined by "CMS Alignment" methodology (Voluntary and Claims-Based methodologies) which may or may not equal the attribution numbers derived by the practice (see "PCF Beneficiary Attribution Concordance" below). </t>
  </si>
  <si>
    <t>Medicare's PCF patient attribution ("alignment") model may not reflect the practice's own attribution experience.  Therefore, the PCF attribution accuracy may be modified by the practice, if desired, to less than 100% for the purpose of revenue modeling.  As an example, if the Beneficiaries attributed to the PCF Practice by Medicare are 90% of the actual number of Medicare patients being cared for, then 90% of the PCF Practice revenue for its Beneficiaries would be based on the PCF Total Primary Care Payment model and 10% would be from Medicare FFS.  Also, this "concordance" percent will initially need to be estimated by the Practice; once a Practice's application to participate in PCF has been approved, CMS will share the actual (official) number of aligned Beneficiaries based on the CMS Alignment methodology (which can then be used to calculate the concordance percent for use in the Calculator).  See Row 43 below.</t>
  </si>
  <si>
    <t xml:space="preserve">Use this field to estimate the impact of enhanced care management services on the average number of PCF pt office visits per year. The actual impact of PCF practice care management on office visits per year may be variable and can increase (if there is improved outreach and follow-up) or decrease (if, for instance, there is more non-visit care that does not necessarily generate revenue per encounter).  Under prepaid (capitation-like payment models), OVs/year tend to drop, at least in part due to care management. In a JABFP article by W Pearson, July 2013, the drop was -23% for &gt;75% capitation compared to &lt;25% capitation (4.8 to 3.7 OV/year).  </t>
  </si>
  <si>
    <t>These fields allow for prospective PCF practices to input the anticipated new staff roles required for successful participation in PCF.  These "overhead" costs do not include pre-existing operational or staffing costs prior to participation in PCF.</t>
  </si>
  <si>
    <t>Performance-Based Incentive Payments</t>
  </si>
  <si>
    <t>Average Visits/PCF Pt per Year (w/Enhanced Care Mgmt.)</t>
  </si>
  <si>
    <t>Incremental number of Seriously Ill Patients (SIP) patients assigned to a PCF practice participating in PCF Payment Model Option 3 (PCF + SIP).  Note that these SIP patients will not be factored into the Medicare FFS Scenario comparator.</t>
  </si>
  <si>
    <t xml:space="preserve">This "advanced business modeling" for PCF Practices considers the revenue impact of adding a specific number of high(er) risk patients to the Practice's PCF panel compared to Medicare Fee For Service. Here it is important to understand that adding Higher Risk Patients to a PCF practice is unlikely to change the Practice Risk Group, and therefore the PBPM for its entire panel of PCF patients. On the other hand, within a Medicare FFS practice, these higher risk patients will be billed at higher CPT rates per OV and will likely be eligible for CCM billing as well. </t>
  </si>
  <si>
    <r>
      <t>Ave Visits/MCR Pt/yr (Practice Data)</t>
    </r>
    <r>
      <rPr>
        <b/>
        <sz val="12"/>
        <color theme="1"/>
        <rFont val="Calibri"/>
        <family val="2"/>
        <scheme val="minor"/>
      </rPr>
      <t xml:space="preserve"> OPTIONAL</t>
    </r>
  </si>
  <si>
    <t>Ave Visits/MCR Pt/yr (Calculated) DEFAULT</t>
  </si>
  <si>
    <t>1.2-&lt;1.5</t>
  </si>
  <si>
    <t>1.5-&lt;2.0</t>
  </si>
  <si>
    <t>&gt;=2.0</t>
  </si>
  <si>
    <t>Risk Group 2  (HCC 1.2-&lt;1.5)</t>
  </si>
  <si>
    <t>Risk Group 3  (HCC 1.5-&lt;2.0)</t>
  </si>
  <si>
    <t>Risk Group 4      (HCC &gt;=2.0)</t>
  </si>
  <si>
    <t xml:space="preserve"> Risk Group 1         (HCC &lt;1.2)</t>
  </si>
  <si>
    <t>This fee is determined by practice Track, the percent of attributed beneficiaries per Risk Tier and the HCC-based monthly payment per beneficiary (note that the risk-based payment adjustments in CPC+ are per beneficiary while in PCF these adjustments are averaged over the practice's attributed panel population).  In addition, Risk Tier 5 ($100 PBPM) applies only to Track 2 practices.  NOTE:  the total percentages attributed to each of the Risk Tiers must total 100%.</t>
  </si>
  <si>
    <t>This variable allows for specifying the risk group level of the additional high(er) risk patients.  For the purposes of this Calculator, the CCM PBPM is automatically added to the Medicare FFS revenue calculations when the average HCC for these "Higher Risk Patients" is &gt;=2.0 (Risk Group 4).</t>
  </si>
  <si>
    <t>Procure, submit roster, monitor and pay for CMS-Approved PECS Vendor</t>
  </si>
  <si>
    <t>Flat Visit Fee  (includes Co-Insurance payment)</t>
  </si>
  <si>
    <t>&gt;=90%ile</t>
  </si>
  <si>
    <t>80-89%ile</t>
  </si>
  <si>
    <t>70-79%ile</t>
  </si>
  <si>
    <t>60-69%ile</t>
  </si>
  <si>
    <t>50-59%ile</t>
  </si>
  <si>
    <t>25-49%ile</t>
  </si>
  <si>
    <t>Levels</t>
  </si>
  <si>
    <t>&lt; 25%ile</t>
  </si>
  <si>
    <t>Adj</t>
  </si>
  <si>
    <t>Percent of TPCP Adjustments</t>
  </si>
  <si>
    <t>Min CI Score</t>
  </si>
  <si>
    <t>Flat Visit Fee + Co-Insurance</t>
  </si>
  <si>
    <r>
      <t>Flat Visit Fee,</t>
    </r>
    <r>
      <rPr>
        <b/>
        <sz val="12"/>
        <color theme="1"/>
        <rFont val="Calibri"/>
        <family val="2"/>
        <scheme val="minor"/>
      </rPr>
      <t xml:space="preserve"> No Co-Insurance</t>
    </r>
  </si>
  <si>
    <r>
      <t xml:space="preserve">Flat Visit Fee + Co-Ins "PBPM Equivalent" </t>
    </r>
    <r>
      <rPr>
        <sz val="12"/>
        <color theme="1"/>
        <rFont val="Calibri (Body)"/>
      </rPr>
      <t>(w/CM Adj)</t>
    </r>
  </si>
  <si>
    <t>TPCP Continuous Improvement Adjustment (potential)</t>
  </si>
  <si>
    <t>Flat Visit Fees w/PBA + Co-Insurance revenue per Year</t>
  </si>
  <si>
    <t>Professional Population-Based Payment HCC-adjusted w/PBA per Year</t>
  </si>
  <si>
    <t>Medicare Fee For Service Payments per Year</t>
  </si>
  <si>
    <t>CPC+ Payments Total per Year</t>
  </si>
  <si>
    <t>PCF vs. CPC+ Payments/Practice/yr</t>
  </si>
  <si>
    <t>PCF vs. CPC+ Payments/Provider FTE/yr</t>
  </si>
  <si>
    <t>CPC+ vs. Medicare FFS Payments/yr</t>
  </si>
  <si>
    <t>CPC+ vs. Medicare FSS Payments/Provder/yr</t>
  </si>
  <si>
    <t>PCF vs. Medicare FFS Payments/Practice/yr</t>
  </si>
  <si>
    <t>PCF vs. Medicare FFS Payments/Provider FTE/yr</t>
  </si>
  <si>
    <t>Average # OV/MCR pt/yr (Final)</t>
  </si>
  <si>
    <t>Average # OV/MCR pt/yr (Calculated)</t>
  </si>
  <si>
    <t>Average # OV/MCR pt/Year (w/CM adj.)</t>
  </si>
  <si>
    <t>Percent change in OV/yr due to PCF Pt CM</t>
  </si>
  <si>
    <r>
      <t>MCR FFS Payments Total/yr</t>
    </r>
    <r>
      <rPr>
        <b/>
        <vertAlign val="superscript"/>
        <sz val="12"/>
        <color theme="1"/>
        <rFont val="Calibri (Body)"/>
      </rPr>
      <t>1</t>
    </r>
  </si>
  <si>
    <r>
      <t>PCF Payments Total/yr (PCF only and PCF + SIP)</t>
    </r>
    <r>
      <rPr>
        <b/>
        <vertAlign val="superscript"/>
        <sz val="12"/>
        <color theme="1"/>
        <rFont val="Calibri (Body)"/>
      </rPr>
      <t>2</t>
    </r>
  </si>
  <si>
    <t>CPC+ Payments Total/yr (details below)</t>
  </si>
  <si>
    <t>Care Management Fee (CMF) Total Payments/yr</t>
  </si>
  <si>
    <r>
      <t>PCF vs. CPC+ Payments/Practice/yr</t>
    </r>
    <r>
      <rPr>
        <b/>
        <vertAlign val="superscript"/>
        <sz val="12"/>
        <color theme="1"/>
        <rFont val="Calibri (Body)"/>
      </rPr>
      <t>3</t>
    </r>
  </si>
  <si>
    <t>PCF vs. CPC+ Payments/Provider FTE/yr***</t>
  </si>
  <si>
    <r>
      <t>CPC+ vs. Medicare FSS Payments/yr</t>
    </r>
    <r>
      <rPr>
        <b/>
        <vertAlign val="superscript"/>
        <sz val="12"/>
        <color theme="1"/>
        <rFont val="Calibri (Body)"/>
      </rPr>
      <t>4</t>
    </r>
  </si>
  <si>
    <t>PCF vs. Medicare FFS Payments/Practice/yr (after PCF overhead)</t>
  </si>
  <si>
    <t>Gross PCF vs. Medicare FFS Payments/Provider FTE/yr</t>
  </si>
  <si>
    <t>Medicare FFS vs. PCF vs. CPC+ Payments</t>
  </si>
  <si>
    <t>Payments: PCF vs. Medicare FFS vs. CPC+ Models</t>
  </si>
  <si>
    <t>PCF Model Payment Details</t>
  </si>
  <si>
    <t>Medicare FFS Payment Details</t>
  </si>
  <si>
    <t>Medicare CCM Fee Payment/year</t>
  </si>
  <si>
    <t>Care Management Fee (CMF) Total Payments</t>
  </si>
  <si>
    <t>Performance-Based Incentive Payment (PBIP) Payments</t>
  </si>
  <si>
    <t>Non Revenue Producing Operations (e.g., QI mtgs)</t>
  </si>
  <si>
    <t>Non Revenue Producing Leadership (physician)</t>
  </si>
  <si>
    <t>HCC 1.2-&lt;1.5</t>
  </si>
  <si>
    <t>HCC 1.5-&lt;2.0</t>
  </si>
  <si>
    <t>HCC &gt;=2.0</t>
  </si>
  <si>
    <t>The Total Primary Care Payment is the sum of the annualized Flat Visit Fee as a "PBPM Equivalent" and the Leakage- and Risk-Stratified PBPM before application of the Total Performance Based Adjustment (PBA).</t>
  </si>
  <si>
    <t>Regional Levels</t>
  </si>
  <si>
    <t>**Applies only to Practices exceeding the Quality Gateway &amp; the corresponding CI Score.</t>
  </si>
  <si>
    <t>Care Manager, Add'l Staff, Non-Revenue Generating Ops &amp; Leadership, PECS Vendor</t>
  </si>
  <si>
    <t>This is the Practice's Medicare Pt Attribution (practice data) modified by the "Leakage Adjustment" percent (i.e., the percent of attributed beneficiaries' primary care services that occur outside of the PCF practice).  See Row 6 above.</t>
  </si>
  <si>
    <t>This is the risk stratified number of average visits per PCF patient per year times the estimated percent change in rate of office visits based on enhanced care management of the PCF Practices attributed Medicare population.  See Row 8 above.</t>
  </si>
  <si>
    <t>Payment: PCF, Medicare FFS vs. CPC+ Models</t>
  </si>
  <si>
    <t>The Medicare CCM Fee Payment per Year assumes all of the CCM eligible Medicare Beneficiaries are billed for this service.  NOTE: Payment for chronic care management services within the PCF program is included in the PBPM of the Professional Population Based Payment;  CCM CPT charges are not paid independently within the PCF payment model.</t>
  </si>
  <si>
    <t>Subotal PCF Payment/Year TOTAL w/PBA (prior to Co-ins, Attrib. Adj, SIP)</t>
  </si>
  <si>
    <t>Final Payments per Program per Year</t>
  </si>
  <si>
    <t>Adjusted TPCP PBPM (TPCP x PBA)</t>
  </si>
  <si>
    <t>Adjusted TPCP PBPM is the TPCP + the total PBA.  This is the final monthly, risk-stratified and performance-adjusted payment per beneficiary per month.  It does not include Beneficiary Co-Insurance payments.</t>
  </si>
  <si>
    <t>Flat Office Visit Fees modified by the Performance Based Adjustment percentage plus the yearly total of per-encounter Co-Insurance payments by PCF patients.</t>
  </si>
  <si>
    <t>Medicare Fee For Service Payment per Year (gross)</t>
  </si>
  <si>
    <t>PCF Payment per Year (includes PCF only and PCF/SIP practices)</t>
  </si>
  <si>
    <t>CPC+ Payment Total per Year</t>
  </si>
  <si>
    <t>PCF vs. CPC+ Payment/Practice/yr</t>
  </si>
  <si>
    <t>PCF vs. Medicare FFS Payment/Practice/yr (after incremental overhead)</t>
  </si>
  <si>
    <t>SIP Flat Office Visit Fee ($40.82 + $18 Co-Ins) Payment/yr</t>
  </si>
  <si>
    <t>Incremental Payment/yr (SIP Patients)</t>
  </si>
  <si>
    <t>Primary Care First Payment/yr = # attributed PCF pts x number of OV/yr x the Full PCF Payment PBPM.   It will include revenue from any additional high(er) risk patients beyond the initial number of PCF-attributed patients.  Also, this PCF Revenue/year will include the incremental revenue from Seriously Ill Patients (SIP) patients for those practices participating in PCF Payment Model Option 3 (both PCF and SIP).   Finally, this PCF Revenue/year includes the Medicare FFS revenue from non-PCF attributed Medicare patients.</t>
  </si>
  <si>
    <t>The CPC+ Payment Total per Year is the sum of Care Management Fees, Payment under the CMS Physician Fee Schedule (Full FFS;  or Comprehensive Primary Care Payment + Discounted FFS + Full FFS payment for qualifying Excluded E&amp;M services) and the Performance-Based Incentive Payments.</t>
  </si>
  <si>
    <t>Medicare FFS Payment/yr is the number of attributed Medicare patients x number of OV/yr x the average Medicare Pt FFS payment per office visit.  It will include revenue from any additional high(er) risk patients beyond the initial number of Medicare attributed patients and from CCM revenue for eligible and billed Medicare patients.</t>
  </si>
  <si>
    <t>Flat Visit Fees w/PBA + Co-Insurance Payment per Year</t>
  </si>
  <si>
    <t>National AHU/TPCC Benchmark:  Meet or Exceed 50th%ile</t>
  </si>
  <si>
    <t>Regional AHU/TPCC Performance</t>
  </si>
  <si>
    <t xml:space="preserve">There are 7 percentile ranges (including a "Quality Gateway Not Met" option) for CI Benchmarks unique to each PCF practice that reflect the measured practice AHU/TPCC Continuous Improvement Performance.  To qualify for a CI Bonus, a practice must pass the Qualty Gateway and must meet the Improvment Targets (Minimum CI Score), ranging from 3.00% to 5.00%, corresponding to their Regional Performance Level.   This Continuous Improvement performance is then translated into adjustments up to 16% of the Total Primary Care Payment.  Note: this "bonus" cannot be more than 1/3 of the total % of TPCP Bonus.  </t>
  </si>
  <si>
    <t>Performance percentile ranges (AHU/TPCC and Continuous Improvement) &amp; Bonus percent adjustments to TPCP:</t>
  </si>
  <si>
    <t xml:space="preserve">*Positive %'s apply only to Practices in Top 50% National AHU/TPCC. </t>
  </si>
  <si>
    <t>Regional AHU/TPCC Performance Adjustment (Final)</t>
  </si>
  <si>
    <t>The Regional AHU/TPCC Performance adjustment is 6.5%-34% if the practice is in the top 50% Nationally and 0.0% if AHU/TPCC is in lower 50% of practices Nationally AND above the 25th% in the Regional Cohort; if a practice is in the Lower 50% Nationally and below the 25th% in the Regional Cohort, the PBA is between -10%.  For the PBA to be greater than 0%, practice must meet or exceed the Quality Gateway.</t>
  </si>
  <si>
    <t>A Continuous Improvement Adjustment may be earned by any PCF practice, regardless of AHU/TPCC National or Regional AHU/TPCC performance, as long as the practice meets or exceeds the Quality Gateway (the Quality Gateway begins in Year 2) AND meets the Improvment Targets (Minimum CI Score), ranging from 3.00% to 5.00%, corresponding to their Regional Performance Level.  In Year 1, if a practice fails the National AHU/TPCC Benchmark of 50th%ile, then the maximum CI Bonus is 3.5%. If a practice meets or exceeds the Quality Gateway in Years 2-5 but fails the National AHU/TPCC Gateway, the CI Bonus is limited to a maximum of 3.5%.  Failing to meet or exceed the Quality Gateway during Years 3-5 will result in a PBA of -10% (regardless of performance on CI or AHU/TPCC Nationally or Regionally).  In all years, the Continuous Improvement Bonus can be no larger than 1/3rd the total PBA percentage applied to the Total Primary Care Payment.</t>
  </si>
  <si>
    <t>The total Performance Based Adjustment (PBA) is the sum of the final Regional AHU/TPCC practice performance Bonus percent and the CI Bonus Percent, both of which are determined by the practice's performance on the Quality Gateway, National  and Regional AHU/TPCC and on Continuous Improvement Targets.</t>
  </si>
  <si>
    <t>NOTE:  Group 1&amp;2 practices must meet the minimum threshold of 30% for 5 Q measures (DM Poor Control, Controlling HBP, Colon Cancer Screening, Adv. Care Plan, PECS) in performance years 2021+ to pass the Q Gateway; Utilization measure is Acute Hospitalization Utilization (AHU).   Group 3&amp;4 must meet min threshold of 30% for 2 measures (ACP, PECS) in performance years 2021+ and additional 3rd measure (Days at Home) in 2022+.  Utilization measure for Groups 3&amp;4 is Total Per Capita Cost (TPCC)</t>
  </si>
  <si>
    <t xml:space="preserve">Risk Groups Quality and Utilization Measures </t>
  </si>
  <si>
    <t xml:space="preserve">For each of the two Custom Case Scenarios, the 7 algorithms ("Quality/Nat'l AHU/TPCC Thresholds" combinations) generates a zero value in the Final PBA column except for the Threshold statement that matches the Quality/Nat'l AHU/TPCC Gateway Passed input (e.g., Y/Y, Y/N, NA/Y etc.) of the respective Custom Case Scenario. As such, the sum of the 7 algorithm PBA results equals the "Total PBA as % of TPCP". </t>
  </si>
  <si>
    <t>Regional AHU/TPCC Adj.</t>
  </si>
  <si>
    <t>AHU/TPCC</t>
  </si>
  <si>
    <r>
      <t xml:space="preserve">Flat Visit Fee </t>
    </r>
    <r>
      <rPr>
        <b/>
        <sz val="12"/>
        <color theme="1"/>
        <rFont val="Calibri"/>
        <family val="2"/>
        <scheme val="minor"/>
      </rPr>
      <t>No Co-Ins</t>
    </r>
    <r>
      <rPr>
        <sz val="12"/>
        <color theme="1"/>
        <rFont val="Calibri"/>
        <family val="2"/>
        <scheme val="minor"/>
      </rPr>
      <t xml:space="preserve"> "PBPM Equivalent" </t>
    </r>
    <r>
      <rPr>
        <sz val="12"/>
        <color theme="1"/>
        <rFont val="Calibri (Body)"/>
      </rPr>
      <t>(w/CM Adj)</t>
    </r>
  </si>
  <si>
    <r>
      <t>TPCP PBPM N</t>
    </r>
    <r>
      <rPr>
        <b/>
        <sz val="12"/>
        <color theme="1"/>
        <rFont val="Calibri"/>
        <family val="2"/>
        <scheme val="minor"/>
      </rPr>
      <t>o Co-Ins</t>
    </r>
    <r>
      <rPr>
        <sz val="12"/>
        <color theme="1"/>
        <rFont val="Calibri"/>
        <family val="2"/>
        <scheme val="minor"/>
      </rPr>
      <t>--prior to PBA (w/CM Adj)</t>
    </r>
  </si>
  <si>
    <r>
      <t>Adjusted TPCP PBPM (TPCP + PBA</t>
    </r>
    <r>
      <rPr>
        <sz val="12"/>
        <color theme="1"/>
        <rFont val="Calibri (Body)"/>
      </rPr>
      <t>; w/CM Adj,</t>
    </r>
    <r>
      <rPr>
        <b/>
        <sz val="12"/>
        <color theme="1"/>
        <rFont val="Calibri (Body)"/>
      </rPr>
      <t xml:space="preserve"> No Co-Ins</t>
    </r>
    <r>
      <rPr>
        <sz val="12"/>
        <color theme="1"/>
        <rFont val="Calibri"/>
        <family val="2"/>
        <scheme val="minor"/>
      </rPr>
      <t>)</t>
    </r>
  </si>
  <si>
    <r>
      <rPr>
        <vertAlign val="superscript"/>
        <sz val="12"/>
        <color theme="1"/>
        <rFont val="Calibri (Body)"/>
      </rPr>
      <t>1</t>
    </r>
    <r>
      <rPr>
        <sz val="12"/>
        <color theme="1"/>
        <rFont val="Calibri"/>
        <family val="2"/>
        <scheme val="minor"/>
      </rPr>
      <t>Gross w/Leakage, Non SIP High Risk Pts, CCM Pmts</t>
    </r>
  </si>
  <si>
    <r>
      <rPr>
        <vertAlign val="superscript"/>
        <sz val="12"/>
        <color theme="1"/>
        <rFont val="Calibri (Body)"/>
      </rPr>
      <t>2</t>
    </r>
    <r>
      <rPr>
        <sz val="12"/>
        <color theme="1"/>
        <rFont val="Calibri"/>
        <family val="2"/>
        <scheme val="minor"/>
      </rPr>
      <t>PBA, Alignment, Leakage, non-SIP HR, SIP, non-Att MCR,CM,+/-Waiver</t>
    </r>
  </si>
  <si>
    <r>
      <rPr>
        <vertAlign val="superscript"/>
        <sz val="12"/>
        <color theme="1"/>
        <rFont val="Calibri (Body)"/>
      </rPr>
      <t>3</t>
    </r>
    <r>
      <rPr>
        <sz val="12"/>
        <color theme="1"/>
        <rFont val="Calibri"/>
        <family val="2"/>
        <scheme val="minor"/>
      </rPr>
      <t>Assumes no incremental overhead in transition from CPC+ to PCF</t>
    </r>
  </si>
  <si>
    <r>
      <rPr>
        <vertAlign val="superscript"/>
        <sz val="12"/>
        <color theme="1"/>
        <rFont val="Calibri (Body)"/>
      </rPr>
      <t>4</t>
    </r>
    <r>
      <rPr>
        <sz val="12"/>
        <color theme="1"/>
        <rFont val="Calibri"/>
        <family val="2"/>
        <scheme val="minor"/>
      </rPr>
      <t>Assumes no changes in overhead for CPC+ practices that return to MCR FFS</t>
    </r>
  </si>
  <si>
    <r>
      <t>Total PCF</t>
    </r>
    <r>
      <rPr>
        <b/>
        <sz val="12"/>
        <color theme="1"/>
        <rFont val="Calibri"/>
        <family val="2"/>
        <scheme val="minor"/>
      </rPr>
      <t xml:space="preserve"> Co-Insurance revenue</t>
    </r>
    <r>
      <rPr>
        <sz val="12"/>
        <color theme="1"/>
        <rFont val="Calibri"/>
        <family val="2"/>
        <scheme val="minor"/>
      </rPr>
      <t>/year less WAIVER</t>
    </r>
  </si>
  <si>
    <r>
      <t xml:space="preserve">Variables                                              
  </t>
    </r>
    <r>
      <rPr>
        <sz val="10"/>
        <color theme="1"/>
        <rFont val="Calibri (Body)"/>
      </rPr>
      <t>NOTE: Click on hyperlinks for Details</t>
    </r>
  </si>
  <si>
    <r>
      <rPr>
        <b/>
        <sz val="12"/>
        <color theme="1"/>
        <rFont val="Calibri"/>
        <family val="2"/>
        <scheme val="minor"/>
      </rPr>
      <t>Patient Experience of Care (PEC)</t>
    </r>
    <r>
      <rPr>
        <sz val="12"/>
        <color theme="1"/>
        <rFont val="Calibri"/>
        <family val="2"/>
        <scheme val="minor"/>
      </rPr>
      <t xml:space="preserve">  [P30=78.91%, P70=82.89%]   </t>
    </r>
  </si>
  <si>
    <r>
      <rPr>
        <b/>
        <sz val="12"/>
        <color theme="1"/>
        <rFont val="Calibri"/>
        <family val="2"/>
        <scheme val="minor"/>
      </rPr>
      <t>DM eCQM</t>
    </r>
    <r>
      <rPr>
        <sz val="12"/>
        <color theme="1"/>
        <rFont val="Calibri"/>
        <family val="2"/>
        <scheme val="minor"/>
      </rPr>
      <t xml:space="preserve">  [P30=60.78%, P70=25.87%]   </t>
    </r>
  </si>
  <si>
    <r>
      <rPr>
        <b/>
        <sz val="12"/>
        <color theme="1"/>
        <rFont val="Calibri"/>
        <family val="2"/>
        <scheme val="minor"/>
      </rPr>
      <t xml:space="preserve">BP eCQM </t>
    </r>
    <r>
      <rPr>
        <sz val="12"/>
        <color theme="1"/>
        <rFont val="Calibri"/>
        <family val="2"/>
        <scheme val="minor"/>
      </rPr>
      <t xml:space="preserve"> [P30=56.83%, P70=72.01%]   </t>
    </r>
  </si>
  <si>
    <r>
      <rPr>
        <b/>
        <sz val="12"/>
        <color theme="1"/>
        <rFont val="Calibri"/>
        <family val="2"/>
        <scheme val="minor"/>
      </rPr>
      <t>AHU</t>
    </r>
    <r>
      <rPr>
        <sz val="12"/>
        <color theme="1"/>
        <rFont val="Calibri"/>
        <family val="2"/>
        <scheme val="minor"/>
      </rPr>
      <t xml:space="preserve">  [P50=1.16, P80=0.96]</t>
    </r>
  </si>
  <si>
    <r>
      <rPr>
        <b/>
        <sz val="12"/>
        <color theme="1"/>
        <rFont val="Calibri"/>
        <family val="2"/>
        <scheme val="minor"/>
      </rPr>
      <t xml:space="preserve">EDU </t>
    </r>
    <r>
      <rPr>
        <sz val="12"/>
        <color theme="1"/>
        <rFont val="Calibri"/>
        <family val="2"/>
        <scheme val="minor"/>
      </rPr>
      <t xml:space="preserve"> [P50=1.03, P80=0.81]</t>
    </r>
  </si>
  <si>
    <r>
      <t>Full PCF Payment PBPM (</t>
    </r>
    <r>
      <rPr>
        <sz val="12"/>
        <color theme="1"/>
        <rFont val="Calibri"/>
        <family val="2"/>
        <scheme val="minor"/>
      </rPr>
      <t>TPCP x PBA) w/o Co-Ins</t>
    </r>
  </si>
  <si>
    <r>
      <t xml:space="preserve">This is the Practice's Medicare Pt Attribution (practice data) modified by both the PCF Patient Alignment methodology and the "Leakage Adjustment" percent.  See Rows 5 &amp; 6 above.  NOTE:  the impact of the PCF Pt Alignment methodology can be estimated as a "concordance percent"--namely, the estimated percent correlation between the MCR pt attribution derived through practice data and that calculated by CMS using their "alignment" methodology.  Ultimately, a "concordance percent" may be calculated by the Practice based on the "official" number of Aligned Beneficiaries reported by CMS to the PCF Practice (after their RFA submission and before the final PCF participation contract is signed).  </t>
    </r>
    <r>
      <rPr>
        <sz val="12"/>
        <color theme="1"/>
        <rFont val="Calibri (Body)"/>
      </rPr>
      <t>Once participating in PCF, the Beneficiary attribution is determined solely thru the CMS PCF Patient Attribution Methodology (see the CMS PCF Payment Method Volume 1 August 2020). The Calculator input for Concordance percentage then becomes 100%.</t>
    </r>
  </si>
  <si>
    <t>AHU/TPCC/Cont Improvement Performance</t>
  </si>
  <si>
    <t xml:space="preserve"> Regional AHU/TPCC Performance Adjustment (max)</t>
  </si>
  <si>
    <t>AHU/TPCC Continuous Improvement Performance</t>
  </si>
  <si>
    <t>CI Adjustment Final (=&lt; 1/2 AHU/TPCC Regional Performance %)</t>
  </si>
  <si>
    <t>Track 2 65%/35%</t>
  </si>
  <si>
    <t>Track 2 40%/60%</t>
  </si>
  <si>
    <t>Pmt Physician Fee Schedule (FFS and CPCP/Disc FFS)</t>
  </si>
  <si>
    <t>Scenario 1</t>
  </si>
  <si>
    <t>Scenario 2</t>
  </si>
  <si>
    <t>Track 1 or Track 2 (with Hybrid Payment Options)</t>
  </si>
  <si>
    <t>Track &amp; Hybrid PMT Options</t>
  </si>
  <si>
    <t xml:space="preserve">  DETAILS and DEFINITIONS</t>
  </si>
  <si>
    <t>Total FVF w/PBA + Co-Ins Rev</t>
  </si>
  <si>
    <t>Gross FVF per Year w/o Co Ins w/PBA</t>
  </si>
  <si>
    <t>Gross FVF per Year w/o Co Ins</t>
  </si>
  <si>
    <t>Flat Visit Fee (Actual--Practice Specific)</t>
  </si>
  <si>
    <t>Flat Visit Fee (Final--used in calculator)</t>
  </si>
  <si>
    <t>Flat Primary Care Visit Fee (Scenario #1)</t>
  </si>
  <si>
    <t>Flat Primary Care Visit Fee (Scenario #2)</t>
  </si>
  <si>
    <t>National AHU/TPCC Benchmark Gateway:  Meet or Exceed 50%</t>
  </si>
  <si>
    <t>Regional AHU/TPCC Performance Adjustment Final</t>
  </si>
  <si>
    <t>AHU/TPCC Continuous Improvement Adjustment Final</t>
  </si>
  <si>
    <t>AHU/TPCC Regional Performance</t>
  </si>
  <si>
    <t>National AHU/TPCC Benchmark Gateway:  &gt;=50%?</t>
  </si>
  <si>
    <t xml:space="preserve"> Regional AHU/TPCC Performance Adjustment Final</t>
  </si>
  <si>
    <t>Regional AHU/TPCC Performance &gt;=25th%ile</t>
  </si>
  <si>
    <t>Regional AHU/TPCC Performance  &lt;25th%ile</t>
  </si>
  <si>
    <t>Geographic Adjustment Factor</t>
  </si>
  <si>
    <t>Professional Pop-Based Payment (PPBP)/mo--Risk-Adjusted, w/GAF</t>
  </si>
  <si>
    <t>Geographic Adjustment Factor (GAF)</t>
  </si>
  <si>
    <t>Flat Visit Fee (National Base Rate Adjustment; w/GAF)</t>
  </si>
  <si>
    <t>To account for regional cost differences, Medicare applies a geographic adjustment factor (GAF) to the total allowed amount of $40.82 (the National Base Rate Adjustment) for each submitted claim. The geographic factor is tied to the Medicare Physician Fee Schedule.</t>
  </si>
  <si>
    <t xml:space="preserve">Flat Visit Fee </t>
  </si>
  <si>
    <t>Flat  Visit Fee (including the Co-Insurance payment)</t>
  </si>
  <si>
    <t>The final Flat Visit Fee is the PCF Medicare payment per OV ($40.82) plus the Co-Insurance ($18) paid by the patient.  The Co-Insurance fee is calculated as 20% of the Physician Fee Scale for the HCPCS code that would be billed for the same office visit--namely, 20% of the average Medicare FFS office visit payment). CMS has indicated they may adjust the Flat Visit Fee upward or downward based on regional economic variables.  The PCF RFA also indicates that PCF Practices may be permitted, upon CMS approval, to waive the Co-Insurance payments for certain subpopulations of Beneficiaries.  Practices that elect to grant waivers will, of course, see a reduction in their per visit Flat Visit Fee revenue.</t>
  </si>
  <si>
    <t xml:space="preserve">The Flat Visit Fee is the PCF Medicare payment per OV (the National Base Rate Adjustment to payment for qualifying PCPCS office visit services) or $40.82.  CMS will adjust the Flat Visit Fee upward or downward based on national and regional economic variables.  These include:  the National Base Rate Adjustment;  Geographic Adjustment Factor (same as the GAF applied to PBP);   MIPS Adjustment;  and the 2% Medicare sequestration.  Given the complexity of these adjustment variables, the PCF Payment Calculator allows a practice to input a practice-specific adjusted FVF (light blue cell), overriding the calculated FVF that is based on the Risk Group, National Base Rate Adjustment and the GAF. </t>
  </si>
  <si>
    <t>The Performance-Based Incentive Payments (PBIP) vary according to Track (total $2.50 for Track 1 and $4.00 for Track 2), Measure category (Quality, including Patient Experience of Care [PEC] and two eCQMs [Controlled High BP and DM A1c Poor Control], and Utilization (AHU and EDU), and performance on each measure according to both Minimum and Maximum Benchmarks. For the Quality Measures, these Benchmarks are 30%ile and 70%ile; for Utilization, they are 50%ile and 80%ile. CMS uses two "gateways" that impact payment under the PBIP model: one, to qualify for any PBIP payments for Utilization, regardless of EDU and/or AHU performance, a practice must meet or exceed the minimum benchmark on 2 or more Quality measures; and, two, if a practice meets or exceeds the maximum benchmark (70%ile) for at least 2 Quality measures, it will receive 100% of the PBIP payments for all three Quality measures. Additionally, practice must meet or exceed the minimum benchmark (30%ile)  to receive a PBIP PBPM for one or more of the Quality measures;  once the Quality measure "threshold" is met, a practice must meet or exceed the Utilization minimum benchmark (50%ile) to receive payment for either AHU or EDU performance.  Finally, for practices meeting the "threshold" requirements above, performance at or exceeding the maximum benchmarks for either Quality (70%ile) or Utilization (80%ile) results in 100% PBIP PBPM for the corresponding measures.</t>
  </si>
  <si>
    <t>The Practice Measure Scores for the 3 Quality and the 2 Utilization measures are derived from practice reported data (Patient Experience of Care &amp; CQM performance percentages) and from CMS claims data (Observed/Expected ED and Acute Hospitalization Utilization).  The minimum and maximum Benchmarks are defined in the table below from the CPC+ Payment and Attribution Methodologies 2020 paper.  Practice Measure Scores are then used in the following formulas to determine the PBIB "Percent  Payment Retained" at the end of a given performance year.</t>
  </si>
  <si>
    <t>AHU % Pmt</t>
  </si>
  <si>
    <t>O/E Ratio</t>
  </si>
  <si>
    <t>HealthTeamWorks PCF Performance Consulting and Support</t>
  </si>
  <si>
    <t>Click here to return to the PCF Revenue Calculator</t>
  </si>
  <si>
    <t>NA (Yr 1)</t>
  </si>
  <si>
    <t>Q Gateway</t>
  </si>
  <si>
    <t>AHU/TPCC Gtwy</t>
  </si>
  <si>
    <t>Y (Yrs 2-5)</t>
  </si>
  <si>
    <t>N (Yrs 2-5)</t>
  </si>
  <si>
    <t>Quality/Nat'l AHU/TPCC  GWs Pass:  Y/Y  (Yrs 2-5)</t>
  </si>
  <si>
    <t>Quality/Nat'l AHU/TPCC  GWs Pass:  Y/N  (Yrs 2-5)</t>
  </si>
  <si>
    <t>Quality/Nat'l AHU/TPCC GWs Pass:  N (Yr 2)/Y (Yrs 2-5)</t>
  </si>
  <si>
    <t>Quality/Nat'l AHU/TPCC GWs Pass:  N (Yr 2)/N (Yrs 2-5)</t>
  </si>
  <si>
    <t>Quality/Nat'l AHU/TPCC GWs Pass:  N (Yrs 3-5)/Y or N</t>
  </si>
  <si>
    <t>N (Yrs 3-5)</t>
  </si>
  <si>
    <t>N (Yr 2)</t>
  </si>
  <si>
    <t>Min CI Scr not met</t>
  </si>
  <si>
    <t xml:space="preserve">Quality/Nat'l AHU/TPCC  Gateways:  NA (yr 1) </t>
  </si>
  <si>
    <t>There are 7 Regional Performance percentile ranges (see chart below) that reflect the measured PCF practice AHU/TPCC performance relative to other Regional Practices. These percentiles ranges then translate into AHU/TPCC performance adjustments ("Bonuses") up to 34% of the Total Primary Care Payment.  For the use of this calculator, a practice should estimates its anticipated performance in different scenarios. Note: these "Bonuses as a Percent of TPCP" of &gt;0% apply only to practices that:  1) meet or exceed the "National AHU/TPCC Benchmark" (threshold) compared to all Medicare PCP providers nationally; and 2) Meet or exceed the Quality Gateway.  Practices that fail the Quality Gateway will automatically receive a -10% PBA and do not qualify for a CI Bonus (an exception is allowed in Performance Year 1:  Practices may qualify for 0% or -10% PBA depending on whether their Regional AHU/TPCC performance meets or exceeds the 25th%ile).  Importantly, AHU/TPCC is a volume--not cost--based measure.</t>
  </si>
  <si>
    <t>Beginning in Qtr 2 2023, Practices that pass the QG are then eligible for a PBA between -10% to +50% depending on whether they are at or above the National AHU/TPCC Benchmark (50th%ile) and depending on their Regional AHU/TPCC performance and the CI Performance.  Failure to meet or exceed the QG means a practice is not eligible for a CI Bonus but the PBA will be either 0% (&gt;=25th%ile) or -10% (&lt;25th%ile) based on Regional AHU/TPCC performance (and in 2024 - 2026, failure to pass the4 QG results in an automatice PBA of -10%).</t>
  </si>
  <si>
    <r>
      <rPr>
        <b/>
        <sz val="12"/>
        <color theme="1"/>
        <rFont val="Calibri"/>
        <family val="2"/>
        <scheme val="minor"/>
      </rPr>
      <t>PY2022 thru Qtr 1 of  2023,</t>
    </r>
    <r>
      <rPr>
        <sz val="12"/>
        <color theme="1"/>
        <rFont val="Calibri"/>
        <family val="2"/>
        <scheme val="minor"/>
      </rPr>
      <t xml:space="preserve"> the Full Primary Care First Model Payment is limited to the Total Primary Care Payment (PBPM + Flat Visit Fee; in additional to the Co-Insurance paid by the patient per visit)  with no adjustment or bonus opportunities (no PBA).
</t>
    </r>
    <r>
      <rPr>
        <b/>
        <sz val="12"/>
        <color theme="1"/>
        <rFont val="Calibri"/>
        <family val="2"/>
        <scheme val="minor"/>
      </rPr>
      <t>PY2023 Qtrs 2-4</t>
    </r>
    <r>
      <rPr>
        <sz val="12"/>
        <color theme="1"/>
        <rFont val="Calibri"/>
        <family val="2"/>
        <scheme val="minor"/>
      </rPr>
      <t xml:space="preserve">: The Performance Based Adjustments to the Total Primary Care Payment (TPCP) begins in Qtr 2.   Practices that pass the QG are then eligible for a PBA between -10% to +50% depending on whether they are at or above the National AHU/TPCC Benchmark (50th%ile) and depending on their Regional AHU/TPCC performance and the CI Performance.  Failure to meet or exceed the QG means a practice is not eligible for a CI Bonus but the PBA will be either 0% (&gt;=25th%ile) or -10% (&lt;25th%ile) based on Regional AHU/TPCC performance.  
</t>
    </r>
    <r>
      <rPr>
        <b/>
        <sz val="12"/>
        <color theme="1"/>
        <rFont val="Calibri"/>
        <family val="2"/>
        <scheme val="minor"/>
      </rPr>
      <t>PY2024 and beyond</t>
    </r>
    <r>
      <rPr>
        <sz val="12"/>
        <color theme="1"/>
        <rFont val="Calibri"/>
        <family val="2"/>
        <scheme val="minor"/>
      </rPr>
      <t xml:space="preserve">:  Same as PY2023 except failure to meet or exceed the QG results in an automatic PBA of -10% (and no opportunity for a CI Bonus).  </t>
    </r>
  </si>
  <si>
    <t>Historical FFS Payment for Ancillary Services (e.g., vaccines, labs)</t>
  </si>
  <si>
    <t>Historical FFS Pmt:  Ancillary Services (e.g., vaccines, labs)</t>
  </si>
  <si>
    <t>Practices enter their average historical MCR FFS payments per year for ancillary services (i.e., office non-E+M and CCM services) defined here as including in-house labs, immunizations, EKG's, spirometry, office-based procedures (e.g., treadmills, vasectomy, dermatologic excisions/repair, casting, colposcopy) and any services provided to hospitalized or ER patients.</t>
  </si>
  <si>
    <r>
      <t xml:space="preserve">The number of attributed MCR pts used here is identical to that used in PCF calculations and assumes use of the same CMS Alignment methodology.  This </t>
    </r>
    <r>
      <rPr>
        <sz val="12"/>
        <rFont val="Calibri (Body)"/>
      </rPr>
      <t xml:space="preserve">cell's value </t>
    </r>
    <r>
      <rPr>
        <sz val="12"/>
        <rFont val="Calibri"/>
        <family val="2"/>
        <scheme val="minor"/>
      </rPr>
      <t>is identical to the corresponding cells on Row 12.</t>
    </r>
  </si>
  <si>
    <r>
      <t xml:space="preserve">Track 1 practices are paid full FFS according to the current Physician Fee Schedule and the calculated full FFS payments are based on projected allowed E&amp;M claims (e.g., do not include CCM billing).  Track 2 practices use a "Hybrid" model and will receive their FFS payments in 3 components.  The first two are calculated based on a 2-year claims history, annualized and divided into quarterly up-front Comprehensive Primary Care Payments and discounted FFS payments according to the Hybrid Option selected (CPCP/FFS: 40%/60% or 65%/35%). </t>
    </r>
    <r>
      <rPr>
        <sz val="12"/>
        <rFont val="Calibri (Body)"/>
      </rPr>
      <t xml:space="preserve">The Hybrid model excludes certain non-visit E&amp;M codes (e.g. immunizations) and the total CPCP payments are enhanced by 10% and by the CMS PFS Updates (~2% per year).  Practices in Track 2 bill full FFS for ancillary services (e.g. immunizations, in-house labs but not, for example, for CCM-related codes:  CPT codes 99358, 99484, 99487, 99490, 99491, G0506, and G0507). </t>
    </r>
    <r>
      <rPr>
        <sz val="12"/>
        <rFont val="Calibri"/>
        <family val="2"/>
        <scheme val="minor"/>
      </rPr>
      <t xml:space="preserve">  For the purposes of this Calculator, the total calculated CPCP + Discounted FFS in Line 69 of the PCF Revenue Calculator is inclusive of Co-Insurance payments during the 2-year claims history period.</t>
    </r>
  </si>
  <si>
    <t>PCF Total Medicare Payments per Year</t>
  </si>
  <si>
    <t xml:space="preserve"> https://www.healthteamworks.org/content/primary-care-first-support</t>
  </si>
  <si>
    <t xml:space="preserve">IMPORTANT:  PCF Calculator v5  (based on PCF RFA 3.16.2021)  For updates, see: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</si>
</sst>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164" formatCode="0.0%"/>
    <numFmt numFmtId="165" formatCode="_(&quot;$&quot;* #,##0_);_(&quot;$&quot;* \(#,##0\);_(&quot;$&quot;* &quot;-&quot;??_);_(@_)"/>
    <numFmt numFmtId="166" formatCode="0.0"/>
    <numFmt numFmtId="167" formatCode="_(&quot;$&quot;* #,##0_);_(&quot;$&quot;* \(#,##0\);_(&quot;$&quot;* &quot;-&quot;?_);_(@_)"/>
  </numFmts>
  <fonts count="33" x14ac:knownFonts="1">
    <font>
      <sz val="12"/>
      <color theme="1"/>
      <name val="Calibri"/>
      <family val="2"/>
      <scheme val="minor"/>
    </font>
    <font>
      <sz val="12"/>
      <color theme="1"/>
      <name val="Calibri"/>
      <family val="2"/>
      <scheme val="minor"/>
    </font>
    <font>
      <b/>
      <sz val="12"/>
      <color theme="1"/>
      <name val="Calibri"/>
      <family val="2"/>
      <scheme val="minor"/>
    </font>
    <font>
      <sz val="14"/>
      <color theme="1"/>
      <name val="Calibri"/>
      <family val="2"/>
      <scheme val="minor"/>
    </font>
    <font>
      <sz val="18"/>
      <color theme="1"/>
      <name val="Calibri"/>
      <family val="2"/>
      <scheme val="minor"/>
    </font>
    <font>
      <b/>
      <sz val="14"/>
      <color theme="1"/>
      <name val="Calibri"/>
      <family val="2"/>
      <scheme val="minor"/>
    </font>
    <font>
      <sz val="20"/>
      <color theme="1"/>
      <name val="Calibri"/>
      <family val="2"/>
      <scheme val="minor"/>
    </font>
    <font>
      <sz val="16"/>
      <color theme="1"/>
      <name val="Calibri"/>
      <family val="2"/>
      <scheme val="minor"/>
    </font>
    <font>
      <sz val="11"/>
      <color theme="1"/>
      <name val="Calibri"/>
      <family val="2"/>
      <scheme val="minor"/>
    </font>
    <font>
      <b/>
      <u/>
      <sz val="14"/>
      <color theme="1"/>
      <name val="Calibri"/>
      <family val="2"/>
      <scheme val="minor"/>
    </font>
    <font>
      <u/>
      <sz val="12"/>
      <color theme="10"/>
      <name val="Calibri"/>
      <family val="2"/>
      <scheme val="minor"/>
    </font>
    <font>
      <sz val="13"/>
      <color theme="1"/>
      <name val="Calibri"/>
      <family val="2"/>
      <scheme val="minor"/>
    </font>
    <font>
      <u/>
      <sz val="12"/>
      <color theme="1"/>
      <name val="Calibri"/>
      <family val="2"/>
      <scheme val="minor"/>
    </font>
    <font>
      <sz val="12"/>
      <color theme="1"/>
      <name val="Calibri (Body)"/>
    </font>
    <font>
      <b/>
      <sz val="12"/>
      <color theme="1"/>
      <name val="Calibri (Body)"/>
    </font>
    <font>
      <sz val="8"/>
      <name val="Calibri"/>
      <family val="2"/>
      <scheme val="minor"/>
    </font>
    <font>
      <b/>
      <sz val="15"/>
      <color theme="1"/>
      <name val="Calibri"/>
      <family val="2"/>
      <scheme val="minor"/>
    </font>
    <font>
      <b/>
      <sz val="11"/>
      <color theme="1"/>
      <name val="Arial"/>
      <family val="2"/>
    </font>
    <font>
      <b/>
      <vertAlign val="superscript"/>
      <sz val="12"/>
      <color theme="1"/>
      <name val="Calibri (Body)"/>
    </font>
    <font>
      <vertAlign val="superscript"/>
      <sz val="12"/>
      <color theme="1"/>
      <name val="Calibri (Body)"/>
    </font>
    <font>
      <i/>
      <sz val="12"/>
      <color theme="1"/>
      <name val="Calibri"/>
      <family val="2"/>
      <scheme val="minor"/>
    </font>
    <font>
      <sz val="11"/>
      <color theme="1"/>
      <name val="Arial"/>
      <family val="2"/>
    </font>
    <font>
      <sz val="10"/>
      <color theme="1"/>
      <name val="Calibri (Body)"/>
    </font>
    <font>
      <b/>
      <u/>
      <sz val="12"/>
      <color theme="1"/>
      <name val="Calibri"/>
      <family val="2"/>
      <scheme val="minor"/>
    </font>
    <font>
      <sz val="12"/>
      <color rgb="FFFF0000"/>
      <name val="Calibri"/>
      <family val="2"/>
      <scheme val="minor"/>
    </font>
    <font>
      <sz val="12"/>
      <color rgb="FF000000"/>
      <name val="Calibri"/>
      <family val="2"/>
      <scheme val="minor"/>
    </font>
    <font>
      <b/>
      <sz val="14"/>
      <color theme="1"/>
      <name val="Arial"/>
      <family val="2"/>
    </font>
    <font>
      <sz val="12"/>
      <name val="Calibri"/>
      <family val="2"/>
      <scheme val="minor"/>
    </font>
    <font>
      <sz val="12"/>
      <color theme="0"/>
      <name val="Calibri"/>
      <family val="2"/>
      <scheme val="minor"/>
    </font>
    <font>
      <b/>
      <sz val="12"/>
      <color theme="0"/>
      <name val="Calibri"/>
      <family val="2"/>
      <scheme val="minor"/>
    </font>
    <font>
      <sz val="12"/>
      <name val="Calibri (Body)"/>
    </font>
    <font>
      <i/>
      <u/>
      <sz val="9"/>
      <color theme="10"/>
      <name val="Calibri"/>
      <family val="2"/>
      <scheme val="minor"/>
    </font>
    <font>
      <i/>
      <sz val="10"/>
      <color theme="1"/>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rgb="FF000000"/>
      </patternFill>
    </fill>
    <fill>
      <patternFill patternType="solid">
        <fgColor rgb="FF00B050"/>
        <bgColor indexed="64"/>
      </patternFill>
    </fill>
    <fill>
      <patternFill patternType="solid">
        <fgColor rgb="FFFFC000"/>
        <bgColor indexed="64"/>
      </patternFill>
    </fill>
    <fill>
      <patternFill patternType="solid">
        <fgColor theme="8"/>
        <bgColor indexed="64"/>
      </patternFill>
    </fill>
    <fill>
      <patternFill patternType="gray0625">
        <bgColor theme="4" tint="0.79998168889431442"/>
      </patternFill>
    </fill>
    <fill>
      <patternFill patternType="gray0625">
        <bgColor theme="4" tint="0.79992065187536243"/>
      </patternFill>
    </fill>
    <fill>
      <patternFill patternType="solid">
        <fgColor theme="9" tint="0.39997558519241921"/>
        <bgColor indexed="64"/>
      </patternFill>
    </fill>
    <fill>
      <patternFill patternType="solid">
        <fgColor theme="0" tint="-0.14999847407452621"/>
        <bgColor rgb="FF000000"/>
      </patternFill>
    </fill>
    <fill>
      <patternFill patternType="solid">
        <fgColor theme="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slantDashDot">
        <color indexed="64"/>
      </top>
      <bottom/>
      <diagonal/>
    </border>
    <border>
      <left style="thin">
        <color indexed="64"/>
      </left>
      <right style="thin">
        <color indexed="64"/>
      </right>
      <top style="slantDashDot">
        <color indexed="64"/>
      </top>
      <bottom style="thin">
        <color indexed="64"/>
      </bottom>
      <diagonal/>
    </border>
    <border>
      <left style="thin">
        <color indexed="64"/>
      </left>
      <right style="medium">
        <color indexed="64"/>
      </right>
      <top style="slantDashDot">
        <color indexed="64"/>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cellStyleXfs>
  <cellXfs count="674">
    <xf numFmtId="0" fontId="0" fillId="0" borderId="0" xfId="0"/>
    <xf numFmtId="9" fontId="0" fillId="0" borderId="0" xfId="2" applyFont="1"/>
    <xf numFmtId="0" fontId="2" fillId="0" borderId="0" xfId="0" applyFont="1"/>
    <xf numFmtId="44" fontId="0" fillId="0" borderId="0" xfId="0" applyNumberFormat="1"/>
    <xf numFmtId="0" fontId="4" fillId="0" borderId="0" xfId="0" applyFont="1"/>
    <xf numFmtId="0" fontId="0" fillId="0" borderId="2" xfId="0" applyBorder="1"/>
    <xf numFmtId="0" fontId="0" fillId="0" borderId="0" xfId="0" applyFont="1"/>
    <xf numFmtId="165" fontId="0" fillId="0" borderId="0" xfId="1" applyNumberFormat="1" applyFont="1"/>
    <xf numFmtId="165" fontId="0" fillId="3" borderId="1" xfId="1" applyNumberFormat="1" applyFont="1" applyFill="1" applyBorder="1"/>
    <xf numFmtId="0" fontId="0" fillId="2" borderId="0" xfId="0" applyFont="1" applyFill="1" applyAlignment="1">
      <alignment horizontal="right"/>
    </xf>
    <xf numFmtId="0" fontId="0" fillId="2" borderId="0" xfId="0" applyFont="1" applyFill="1"/>
    <xf numFmtId="0" fontId="0" fillId="0" borderId="4" xfId="0" applyFont="1" applyFill="1" applyBorder="1" applyAlignment="1">
      <alignment horizontal="left" vertical="top"/>
    </xf>
    <xf numFmtId="165" fontId="0" fillId="0" borderId="4" xfId="1" applyNumberFormat="1" applyFont="1" applyFill="1" applyBorder="1"/>
    <xf numFmtId="0" fontId="0" fillId="2" borderId="15" xfId="0" applyFont="1" applyFill="1" applyBorder="1" applyAlignment="1">
      <alignment horizontal="left" vertical="top"/>
    </xf>
    <xf numFmtId="165" fontId="0" fillId="0" borderId="1" xfId="1" applyNumberFormat="1" applyFont="1" applyBorder="1" applyProtection="1">
      <protection locked="0"/>
    </xf>
    <xf numFmtId="0" fontId="4" fillId="2" borderId="15" xfId="0" applyFont="1" applyFill="1" applyBorder="1"/>
    <xf numFmtId="0" fontId="5" fillId="2" borderId="15" xfId="0" applyFont="1" applyFill="1" applyBorder="1" applyAlignment="1">
      <alignment wrapText="1"/>
    </xf>
    <xf numFmtId="0" fontId="0" fillId="2" borderId="0" xfId="0" applyFont="1" applyFill="1" applyBorder="1" applyAlignment="1">
      <alignment horizontal="right" vertical="top"/>
    </xf>
    <xf numFmtId="0" fontId="0" fillId="2" borderId="2" xfId="0" applyFont="1" applyFill="1" applyBorder="1" applyAlignment="1">
      <alignment horizontal="center"/>
    </xf>
    <xf numFmtId="44" fontId="0" fillId="0" borderId="0" xfId="1" applyFont="1"/>
    <xf numFmtId="165" fontId="0" fillId="0" borderId="0" xfId="0" applyNumberFormat="1"/>
    <xf numFmtId="2" fontId="0" fillId="0" borderId="0" xfId="0" applyNumberFormat="1"/>
    <xf numFmtId="0" fontId="2" fillId="0" borderId="2" xfId="0" applyFont="1" applyBorder="1"/>
    <xf numFmtId="165" fontId="2" fillId="0" borderId="2" xfId="0" applyNumberFormat="1" applyFont="1" applyBorder="1"/>
    <xf numFmtId="165" fontId="2" fillId="0" borderId="0" xfId="0" applyNumberFormat="1" applyFont="1"/>
    <xf numFmtId="165" fontId="0" fillId="0" borderId="0" xfId="0" applyNumberFormat="1" applyFont="1"/>
    <xf numFmtId="0" fontId="2" fillId="4" borderId="1" xfId="0" applyFont="1" applyFill="1" applyBorder="1" applyAlignment="1" applyProtection="1">
      <alignment horizontal="center"/>
      <protection locked="0"/>
    </xf>
    <xf numFmtId="0" fontId="3" fillId="0" borderId="0" xfId="0" applyFont="1" applyProtection="1"/>
    <xf numFmtId="0" fontId="6" fillId="2" borderId="6" xfId="0" applyFont="1" applyFill="1" applyBorder="1" applyProtection="1"/>
    <xf numFmtId="0" fontId="6" fillId="2" borderId="17" xfId="0" applyFont="1" applyFill="1" applyBorder="1" applyProtection="1"/>
    <xf numFmtId="0" fontId="6" fillId="0" borderId="0" xfId="0" applyFont="1" applyProtection="1"/>
    <xf numFmtId="0" fontId="4" fillId="2" borderId="12" xfId="0" applyFont="1" applyFill="1" applyBorder="1" applyProtection="1"/>
    <xf numFmtId="0" fontId="0" fillId="2" borderId="15" xfId="0" applyFont="1" applyFill="1" applyBorder="1" applyAlignment="1" applyProtection="1">
      <alignment horizontal="center"/>
    </xf>
    <xf numFmtId="0" fontId="4" fillId="0" borderId="2" xfId="0" applyFont="1" applyFill="1" applyBorder="1" applyProtection="1"/>
    <xf numFmtId="0" fontId="4" fillId="0" borderId="2" xfId="0" applyFont="1" applyBorder="1" applyProtection="1"/>
    <xf numFmtId="0" fontId="4" fillId="0" borderId="0" xfId="0" applyFont="1" applyProtection="1"/>
    <xf numFmtId="0" fontId="5" fillId="2" borderId="16" xfId="0" applyFont="1" applyFill="1" applyBorder="1" applyAlignment="1" applyProtection="1">
      <alignment horizontal="center" wrapText="1"/>
    </xf>
    <xf numFmtId="0" fontId="5" fillId="2" borderId="15" xfId="0" applyFont="1" applyFill="1" applyBorder="1" applyAlignment="1" applyProtection="1">
      <alignment horizontal="center" wrapText="1"/>
    </xf>
    <xf numFmtId="165" fontId="0" fillId="2" borderId="0" xfId="1" applyNumberFormat="1" applyFont="1" applyFill="1" applyBorder="1" applyProtection="1"/>
    <xf numFmtId="165" fontId="0" fillId="2" borderId="15" xfId="1" applyNumberFormat="1" applyFont="1" applyFill="1" applyBorder="1" applyProtection="1"/>
    <xf numFmtId="9" fontId="0" fillId="2" borderId="1" xfId="2" applyFont="1" applyFill="1" applyBorder="1" applyProtection="1"/>
    <xf numFmtId="44" fontId="0" fillId="2" borderId="15" xfId="1" applyFont="1" applyFill="1" applyBorder="1" applyProtection="1"/>
    <xf numFmtId="9" fontId="0" fillId="2" borderId="15" xfId="2" applyFont="1" applyFill="1" applyBorder="1" applyProtection="1"/>
    <xf numFmtId="0" fontId="2" fillId="0" borderId="0" xfId="0" applyFont="1" applyProtection="1"/>
    <xf numFmtId="0" fontId="2" fillId="0" borderId="0" xfId="0" applyFont="1" applyAlignment="1" applyProtection="1">
      <alignment horizontal="right"/>
    </xf>
    <xf numFmtId="164" fontId="2" fillId="0" borderId="0" xfId="0" applyNumberFormat="1" applyFont="1" applyProtection="1"/>
    <xf numFmtId="0" fontId="0" fillId="2" borderId="12" xfId="0" applyFont="1" applyFill="1" applyBorder="1" applyAlignment="1" applyProtection="1">
      <alignment horizontal="right"/>
    </xf>
    <xf numFmtId="0" fontId="0" fillId="2" borderId="12" xfId="0" applyFont="1" applyFill="1" applyBorder="1" applyProtection="1"/>
    <xf numFmtId="164" fontId="0" fillId="2" borderId="15" xfId="2" applyNumberFormat="1" applyFont="1" applyFill="1" applyBorder="1" applyProtection="1"/>
    <xf numFmtId="0" fontId="2" fillId="2" borderId="12" xfId="0" applyFont="1" applyFill="1" applyBorder="1" applyAlignment="1" applyProtection="1">
      <alignment horizontal="right"/>
    </xf>
    <xf numFmtId="164" fontId="2" fillId="0" borderId="0" xfId="2" applyNumberFormat="1" applyFont="1" applyBorder="1" applyAlignment="1" applyProtection="1">
      <alignment horizontal="center"/>
    </xf>
    <xf numFmtId="0" fontId="2" fillId="0" borderId="0" xfId="0" applyFont="1" applyAlignment="1" applyProtection="1">
      <alignment horizontal="center"/>
    </xf>
    <xf numFmtId="0" fontId="2" fillId="2" borderId="12" xfId="0" applyFont="1" applyFill="1" applyBorder="1" applyProtection="1"/>
    <xf numFmtId="165" fontId="2" fillId="2" borderId="0" xfId="0" applyNumberFormat="1" applyFont="1" applyFill="1" applyBorder="1" applyProtection="1"/>
    <xf numFmtId="165" fontId="0" fillId="2" borderId="1" xfId="1" applyNumberFormat="1" applyFont="1" applyFill="1" applyBorder="1" applyProtection="1"/>
    <xf numFmtId="0" fontId="5" fillId="0" borderId="0" xfId="0" applyFont="1" applyFill="1" applyBorder="1" applyAlignment="1" applyProtection="1"/>
    <xf numFmtId="0" fontId="2" fillId="0" borderId="0" xfId="0" applyFont="1" applyFill="1" applyBorder="1" applyProtection="1"/>
    <xf numFmtId="0" fontId="0" fillId="0" borderId="0" xfId="0" applyFont="1" applyAlignment="1" applyProtection="1">
      <alignment horizontal="center"/>
    </xf>
    <xf numFmtId="0" fontId="0" fillId="0" borderId="0" xfId="0" applyFont="1" applyProtection="1"/>
    <xf numFmtId="165" fontId="0" fillId="3" borderId="11" xfId="1" applyNumberFormat="1" applyFont="1" applyFill="1" applyBorder="1"/>
    <xf numFmtId="0" fontId="2" fillId="3" borderId="11" xfId="0" applyFont="1" applyFill="1" applyBorder="1" applyAlignment="1">
      <alignment horizontal="right"/>
    </xf>
    <xf numFmtId="0" fontId="0" fillId="0" borderId="0" xfId="0" applyFont="1" applyFill="1" applyBorder="1" applyAlignment="1" applyProtection="1">
      <alignment horizontal="right" vertical="top" wrapText="1"/>
    </xf>
    <xf numFmtId="0" fontId="0" fillId="2" borderId="1" xfId="0" applyFont="1" applyFill="1" applyBorder="1" applyAlignment="1" applyProtection="1">
      <alignment horizontal="right"/>
    </xf>
    <xf numFmtId="0" fontId="0" fillId="2" borderId="1" xfId="0" applyFont="1" applyFill="1" applyBorder="1" applyAlignment="1" applyProtection="1">
      <alignment horizontal="center"/>
    </xf>
    <xf numFmtId="164" fontId="0" fillId="0" borderId="1" xfId="2" applyNumberFormat="1" applyFont="1" applyBorder="1" applyProtection="1"/>
    <xf numFmtId="164" fontId="0" fillId="2" borderId="1" xfId="2" applyNumberFormat="1" applyFont="1" applyFill="1" applyBorder="1" applyProtection="1"/>
    <xf numFmtId="165" fontId="0" fillId="2" borderId="2" xfId="0" applyNumberFormat="1" applyFont="1" applyFill="1" applyBorder="1" applyProtection="1"/>
    <xf numFmtId="165" fontId="0" fillId="2" borderId="10" xfId="0" applyNumberFormat="1" applyFont="1" applyFill="1" applyBorder="1" applyProtection="1"/>
    <xf numFmtId="0" fontId="7" fillId="8" borderId="4" xfId="0" applyFont="1" applyFill="1" applyBorder="1" applyAlignment="1"/>
    <xf numFmtId="0" fontId="5" fillId="2" borderId="12" xfId="0" applyFont="1" applyFill="1" applyBorder="1" applyAlignment="1">
      <alignment horizontal="right"/>
    </xf>
    <xf numFmtId="0" fontId="3" fillId="2" borderId="3" xfId="0" applyFont="1" applyFill="1" applyBorder="1" applyProtection="1"/>
    <xf numFmtId="0" fontId="3" fillId="2" borderId="4" xfId="0" applyFont="1" applyFill="1" applyBorder="1" applyProtection="1"/>
    <xf numFmtId="0" fontId="0" fillId="0" borderId="11" xfId="0" applyFont="1" applyBorder="1" applyAlignment="1">
      <alignment horizontal="center"/>
    </xf>
    <xf numFmtId="164" fontId="0" fillId="4" borderId="3" xfId="2" applyNumberFormat="1" applyFont="1" applyFill="1" applyBorder="1" applyAlignment="1" applyProtection="1">
      <alignment horizontal="center"/>
      <protection locked="0"/>
    </xf>
    <xf numFmtId="1" fontId="0" fillId="4" borderId="1" xfId="2" applyNumberFormat="1" applyFont="1" applyFill="1" applyBorder="1" applyAlignment="1" applyProtection="1">
      <alignment horizontal="center"/>
      <protection locked="0"/>
    </xf>
    <xf numFmtId="0" fontId="0" fillId="2" borderId="15" xfId="0" applyFont="1" applyFill="1" applyBorder="1"/>
    <xf numFmtId="0" fontId="11" fillId="2" borderId="15" xfId="0" applyFont="1" applyFill="1" applyBorder="1" applyAlignment="1">
      <alignment horizontal="right"/>
    </xf>
    <xf numFmtId="164" fontId="0" fillId="2" borderId="1" xfId="2" applyNumberFormat="1" applyFont="1" applyFill="1" applyBorder="1" applyAlignment="1" applyProtection="1">
      <alignment horizontal="center"/>
    </xf>
    <xf numFmtId="0" fontId="0" fillId="0" borderId="0" xfId="0" applyFont="1" applyFill="1" applyBorder="1" applyAlignment="1">
      <alignment horizontal="left" vertical="top"/>
    </xf>
    <xf numFmtId="164" fontId="0" fillId="2" borderId="11" xfId="2" applyNumberFormat="1" applyFont="1" applyFill="1" applyBorder="1" applyAlignment="1" applyProtection="1">
      <alignment horizontal="center"/>
    </xf>
    <xf numFmtId="0" fontId="0" fillId="2" borderId="11" xfId="0" applyFont="1" applyFill="1" applyBorder="1" applyAlignment="1">
      <alignment horizontal="right" vertical="top"/>
    </xf>
    <xf numFmtId="0" fontId="0" fillId="0" borderId="1" xfId="0" applyFont="1" applyBorder="1" applyAlignment="1" applyProtection="1">
      <alignment horizontal="center"/>
    </xf>
    <xf numFmtId="164" fontId="0" fillId="2" borderId="1" xfId="0" applyNumberFormat="1" applyFont="1" applyFill="1" applyBorder="1" applyProtection="1"/>
    <xf numFmtId="0" fontId="0" fillId="0" borderId="1" xfId="0" applyFont="1" applyFill="1" applyBorder="1" applyAlignment="1" applyProtection="1">
      <alignment horizontal="center"/>
    </xf>
    <xf numFmtId="9" fontId="0" fillId="2" borderId="1" xfId="0" applyNumberFormat="1" applyFont="1" applyFill="1" applyBorder="1" applyProtection="1"/>
    <xf numFmtId="0" fontId="0" fillId="2" borderId="1" xfId="0" applyFont="1" applyFill="1" applyBorder="1" applyProtection="1"/>
    <xf numFmtId="0" fontId="0" fillId="2" borderId="3" xfId="0" applyFont="1" applyFill="1" applyBorder="1" applyAlignment="1" applyProtection="1"/>
    <xf numFmtId="0" fontId="0" fillId="2" borderId="4" xfId="0" applyFont="1" applyFill="1" applyBorder="1" applyAlignment="1" applyProtection="1"/>
    <xf numFmtId="0" fontId="0" fillId="2" borderId="5" xfId="0" applyFont="1" applyFill="1" applyBorder="1" applyAlignment="1" applyProtection="1"/>
    <xf numFmtId="1" fontId="0" fillId="0" borderId="10" xfId="2" applyNumberFormat="1" applyFont="1" applyBorder="1" applyAlignment="1" applyProtection="1">
      <alignment horizontal="center"/>
      <protection locked="0"/>
    </xf>
    <xf numFmtId="9" fontId="0" fillId="0" borderId="1" xfId="2" applyFont="1" applyBorder="1" applyAlignment="1" applyProtection="1">
      <alignment horizontal="center"/>
      <protection locked="0"/>
    </xf>
    <xf numFmtId="9" fontId="0" fillId="0" borderId="11" xfId="2" applyFont="1" applyBorder="1" applyAlignment="1" applyProtection="1">
      <alignment horizontal="center"/>
      <protection locked="0"/>
    </xf>
    <xf numFmtId="0" fontId="8" fillId="0" borderId="0" xfId="0" applyFont="1"/>
    <xf numFmtId="44" fontId="0" fillId="0" borderId="0" xfId="1" applyFont="1" applyProtection="1"/>
    <xf numFmtId="0" fontId="0" fillId="2" borderId="0" xfId="0" applyFont="1" applyFill="1" applyProtection="1"/>
    <xf numFmtId="0" fontId="0" fillId="2" borderId="10" xfId="0" applyFont="1" applyFill="1" applyBorder="1"/>
    <xf numFmtId="0" fontId="0" fillId="2" borderId="12" xfId="0" applyFont="1" applyFill="1" applyBorder="1" applyAlignment="1">
      <alignment horizontal="left" vertical="top"/>
    </xf>
    <xf numFmtId="0" fontId="0" fillId="2" borderId="10" xfId="0" applyFont="1" applyFill="1" applyBorder="1" applyAlignment="1">
      <alignment horizontal="left" vertical="top" wrapText="1"/>
    </xf>
    <xf numFmtId="0" fontId="0" fillId="2" borderId="15" xfId="0" quotePrefix="1" applyFont="1" applyFill="1" applyBorder="1" applyAlignment="1">
      <alignment horizontal="left" vertical="top" wrapText="1"/>
    </xf>
    <xf numFmtId="0" fontId="0" fillId="0" borderId="3" xfId="0" applyFont="1" applyFill="1" applyBorder="1" applyAlignment="1" applyProtection="1">
      <alignment horizontal="left"/>
      <protection locked="0"/>
    </xf>
    <xf numFmtId="0" fontId="0" fillId="2" borderId="3" xfId="0" applyFont="1" applyFill="1" applyBorder="1" applyAlignment="1">
      <alignment horizontal="right"/>
    </xf>
    <xf numFmtId="0" fontId="0" fillId="2" borderId="4" xfId="0" applyFont="1" applyFill="1" applyBorder="1"/>
    <xf numFmtId="0" fontId="0" fillId="2" borderId="10" xfId="0" applyFont="1" applyFill="1" applyBorder="1" applyAlignment="1">
      <alignment horizontal="left" vertical="top"/>
    </xf>
    <xf numFmtId="0" fontId="0" fillId="2" borderId="10" xfId="0" applyFont="1" applyFill="1" applyBorder="1" applyAlignment="1">
      <alignment horizontal="left"/>
    </xf>
    <xf numFmtId="0" fontId="0" fillId="2" borderId="15" xfId="0" applyFont="1" applyFill="1" applyBorder="1" applyAlignment="1">
      <alignment horizontal="left"/>
    </xf>
    <xf numFmtId="0" fontId="0" fillId="2" borderId="11" xfId="0" applyFont="1" applyFill="1" applyBorder="1" applyAlignment="1">
      <alignment horizontal="left"/>
    </xf>
    <xf numFmtId="0" fontId="0" fillId="2" borderId="15" xfId="0" applyFont="1" applyFill="1" applyBorder="1" applyAlignment="1" applyProtection="1">
      <alignment horizontal="left"/>
    </xf>
    <xf numFmtId="0" fontId="4" fillId="0" borderId="0" xfId="0" applyFont="1" applyBorder="1" applyProtection="1"/>
    <xf numFmtId="165" fontId="0" fillId="0" borderId="1" xfId="1" applyNumberFormat="1" applyFont="1" applyBorder="1"/>
    <xf numFmtId="0" fontId="0" fillId="5" borderId="1" xfId="0" applyFont="1" applyFill="1" applyBorder="1" applyAlignment="1">
      <alignment horizontal="center"/>
    </xf>
    <xf numFmtId="0" fontId="0" fillId="5" borderId="1" xfId="0" applyFont="1" applyFill="1" applyBorder="1"/>
    <xf numFmtId="9" fontId="0" fillId="0" borderId="1" xfId="0" applyNumberFormat="1" applyFont="1" applyBorder="1" applyAlignment="1">
      <alignment horizontal="center"/>
    </xf>
    <xf numFmtId="164" fontId="0" fillId="0" borderId="1" xfId="0" applyNumberFormat="1" applyFont="1" applyBorder="1" applyAlignment="1">
      <alignment horizontal="center"/>
    </xf>
    <xf numFmtId="9" fontId="0" fillId="0" borderId="1" xfId="0" applyNumberFormat="1" applyFont="1" applyFill="1" applyBorder="1" applyAlignment="1">
      <alignment horizontal="center"/>
    </xf>
    <xf numFmtId="0" fontId="0" fillId="0" borderId="1" xfId="0" applyFont="1" applyBorder="1" applyAlignment="1" applyProtection="1">
      <alignment horizontal="center"/>
      <protection locked="0"/>
    </xf>
    <xf numFmtId="0" fontId="0" fillId="2" borderId="21" xfId="0" applyFont="1" applyFill="1" applyBorder="1"/>
    <xf numFmtId="0" fontId="0" fillId="0" borderId="12" xfId="0" applyFont="1" applyFill="1" applyBorder="1" applyProtection="1"/>
    <xf numFmtId="165" fontId="0" fillId="2" borderId="10" xfId="1" applyNumberFormat="1" applyFont="1" applyFill="1" applyBorder="1" applyProtection="1"/>
    <xf numFmtId="0" fontId="0" fillId="2" borderId="11" xfId="0" applyFont="1" applyFill="1" applyBorder="1"/>
    <xf numFmtId="44" fontId="0" fillId="2" borderId="1" xfId="1" applyFont="1" applyFill="1" applyBorder="1"/>
    <xf numFmtId="0" fontId="0" fillId="4" borderId="1" xfId="0" applyFont="1" applyFill="1" applyBorder="1" applyAlignment="1" applyProtection="1">
      <alignment horizontal="center"/>
      <protection locked="0"/>
    </xf>
    <xf numFmtId="0" fontId="0" fillId="4" borderId="3" xfId="0" applyFont="1" applyFill="1" applyBorder="1" applyAlignment="1" applyProtection="1">
      <alignment horizontal="center"/>
      <protection locked="0"/>
    </xf>
    <xf numFmtId="164" fontId="0" fillId="4" borderId="1" xfId="2" applyNumberFormat="1" applyFont="1" applyFill="1" applyBorder="1" applyAlignment="1" applyProtection="1">
      <alignment horizontal="center"/>
      <protection locked="0"/>
    </xf>
    <xf numFmtId="0" fontId="0" fillId="2" borderId="1" xfId="0" applyFont="1" applyFill="1" applyBorder="1" applyAlignment="1">
      <alignment horizontal="center"/>
    </xf>
    <xf numFmtId="0" fontId="0" fillId="0" borderId="17" xfId="0" applyFont="1" applyFill="1" applyBorder="1"/>
    <xf numFmtId="0" fontId="0" fillId="2" borderId="2" xfId="0" applyFont="1" applyFill="1" applyBorder="1"/>
    <xf numFmtId="165" fontId="0" fillId="2" borderId="11" xfId="1" applyNumberFormat="1" applyFont="1" applyFill="1" applyBorder="1"/>
    <xf numFmtId="165" fontId="0" fillId="3" borderId="19" xfId="0" applyNumberFormat="1" applyFont="1" applyFill="1" applyBorder="1"/>
    <xf numFmtId="0" fontId="0" fillId="0" borderId="0" xfId="0" applyFont="1" applyFill="1" applyBorder="1"/>
    <xf numFmtId="0" fontId="0" fillId="2" borderId="20" xfId="0" applyFont="1" applyFill="1" applyBorder="1"/>
    <xf numFmtId="0" fontId="0" fillId="0" borderId="0" xfId="0" applyFont="1" applyAlignment="1">
      <alignment horizontal="left"/>
    </xf>
    <xf numFmtId="0" fontId="0" fillId="0" borderId="0" xfId="0" applyFont="1" applyBorder="1"/>
    <xf numFmtId="0" fontId="0" fillId="2" borderId="1" xfId="0" applyFont="1" applyFill="1" applyBorder="1"/>
    <xf numFmtId="0" fontId="0" fillId="3" borderId="0" xfId="0" applyFont="1" applyFill="1"/>
    <xf numFmtId="0" fontId="0" fillId="0" borderId="4" xfId="0" applyFont="1" applyFill="1" applyBorder="1"/>
    <xf numFmtId="0" fontId="0" fillId="0" borderId="2" xfId="0" applyFont="1" applyBorder="1"/>
    <xf numFmtId="0" fontId="0" fillId="3" borderId="4" xfId="0" applyFont="1" applyFill="1" applyBorder="1"/>
    <xf numFmtId="0" fontId="0" fillId="3" borderId="10" xfId="0" applyFont="1" applyFill="1" applyBorder="1" applyAlignment="1">
      <alignment horizontal="left"/>
    </xf>
    <xf numFmtId="0" fontId="0" fillId="0" borderId="10" xfId="0" applyFont="1" applyBorder="1" applyAlignment="1" applyProtection="1">
      <alignment horizontal="center"/>
      <protection locked="0"/>
    </xf>
    <xf numFmtId="0" fontId="0" fillId="3" borderId="0" xfId="0" applyFont="1" applyFill="1" applyAlignment="1">
      <alignment horizontal="right"/>
    </xf>
    <xf numFmtId="0" fontId="0" fillId="3" borderId="15" xfId="0" applyFont="1" applyFill="1" applyBorder="1" applyAlignment="1">
      <alignment horizontal="left"/>
    </xf>
    <xf numFmtId="0" fontId="0" fillId="2" borderId="12" xfId="0" applyFont="1" applyFill="1" applyBorder="1"/>
    <xf numFmtId="0" fontId="0" fillId="3" borderId="15" xfId="0" applyFont="1" applyFill="1" applyBorder="1"/>
    <xf numFmtId="0" fontId="0" fillId="3" borderId="8" xfId="0" applyFont="1" applyFill="1" applyBorder="1"/>
    <xf numFmtId="0" fontId="0" fillId="2" borderId="8" xfId="0" applyFont="1" applyFill="1" applyBorder="1"/>
    <xf numFmtId="0" fontId="0" fillId="2" borderId="9" xfId="0" applyFont="1" applyFill="1" applyBorder="1"/>
    <xf numFmtId="0" fontId="12" fillId="0" borderId="0" xfId="3" applyFont="1" applyFill="1" applyBorder="1" applyAlignment="1" applyProtection="1">
      <alignment vertical="center"/>
    </xf>
    <xf numFmtId="0" fontId="12" fillId="0" borderId="2" xfId="3" applyFont="1" applyFill="1" applyBorder="1" applyAlignment="1" applyProtection="1">
      <alignment vertical="center"/>
    </xf>
    <xf numFmtId="0" fontId="0" fillId="2" borderId="12" xfId="0" applyFont="1" applyFill="1" applyBorder="1" applyAlignment="1" applyProtection="1">
      <alignment horizontal="center" wrapText="1"/>
    </xf>
    <xf numFmtId="0" fontId="0" fillId="2" borderId="4" xfId="0" applyFont="1" applyFill="1" applyBorder="1" applyAlignment="1" applyProtection="1">
      <alignment horizontal="center" wrapText="1"/>
    </xf>
    <xf numFmtId="0" fontId="0" fillId="2" borderId="5" xfId="0" applyFont="1" applyFill="1" applyBorder="1" applyAlignment="1" applyProtection="1">
      <alignment horizontal="center" wrapText="1"/>
    </xf>
    <xf numFmtId="0" fontId="0" fillId="0" borderId="0" xfId="0" applyFont="1" applyFill="1" applyBorder="1" applyAlignment="1" applyProtection="1">
      <alignment horizontal="center" wrapText="1"/>
    </xf>
    <xf numFmtId="0" fontId="0" fillId="0" borderId="0" xfId="0" applyFont="1" applyFill="1" applyAlignment="1" applyProtection="1">
      <alignment horizontal="center" wrapText="1"/>
    </xf>
    <xf numFmtId="0" fontId="0" fillId="2" borderId="0" xfId="0" applyFont="1" applyFill="1" applyBorder="1" applyProtection="1"/>
    <xf numFmtId="0" fontId="0" fillId="2" borderId="15" xfId="0" applyFont="1" applyFill="1" applyBorder="1" applyProtection="1"/>
    <xf numFmtId="0" fontId="2" fillId="3" borderId="1" xfId="0" applyFont="1" applyFill="1" applyBorder="1" applyProtection="1"/>
    <xf numFmtId="0" fontId="0" fillId="0" borderId="0" xfId="0" applyFont="1" applyAlignment="1" applyProtection="1"/>
    <xf numFmtId="0" fontId="0" fillId="0" borderId="0" xfId="0" applyFont="1" applyAlignment="1" applyProtection="1">
      <alignment horizontal="left" vertical="top" wrapText="1"/>
    </xf>
    <xf numFmtId="9" fontId="0" fillId="2" borderId="1" xfId="2" applyFont="1" applyFill="1" applyBorder="1" applyAlignment="1" applyProtection="1">
      <alignment horizontal="center"/>
    </xf>
    <xf numFmtId="6" fontId="0" fillId="2" borderId="0" xfId="0" applyNumberFormat="1" applyFont="1" applyFill="1" applyProtection="1"/>
    <xf numFmtId="166" fontId="0" fillId="2" borderId="0" xfId="0" applyNumberFormat="1" applyFont="1" applyFill="1" applyBorder="1" applyProtection="1"/>
    <xf numFmtId="0" fontId="2" fillId="0" borderId="0" xfId="0" applyFont="1" applyAlignment="1" applyProtection="1">
      <alignment horizontal="left" vertical="top" wrapText="1"/>
    </xf>
    <xf numFmtId="0" fontId="0" fillId="2" borderId="16" xfId="0" applyFont="1" applyFill="1" applyBorder="1" applyAlignment="1" applyProtection="1">
      <alignment horizontal="center"/>
    </xf>
    <xf numFmtId="0" fontId="0" fillId="2" borderId="8" xfId="0" applyFont="1" applyFill="1" applyBorder="1" applyProtection="1"/>
    <xf numFmtId="0" fontId="0" fillId="2" borderId="18" xfId="0" applyFont="1" applyFill="1" applyBorder="1" applyProtection="1"/>
    <xf numFmtId="0" fontId="2" fillId="2" borderId="0" xfId="0" applyFont="1" applyFill="1" applyBorder="1" applyAlignment="1" applyProtection="1">
      <alignment horizontal="right"/>
    </xf>
    <xf numFmtId="165" fontId="0" fillId="2" borderId="1" xfId="0" applyNumberFormat="1" applyFont="1" applyFill="1" applyBorder="1" applyProtection="1"/>
    <xf numFmtId="44" fontId="0" fillId="2" borderId="18" xfId="0" applyNumberFormat="1" applyFont="1" applyFill="1" applyBorder="1" applyProtection="1"/>
    <xf numFmtId="0" fontId="0" fillId="2" borderId="8" xfId="0" applyFont="1" applyFill="1" applyBorder="1" applyAlignment="1" applyProtection="1">
      <alignment horizontal="right"/>
    </xf>
    <xf numFmtId="165" fontId="0" fillId="2" borderId="9" xfId="1" applyNumberFormat="1" applyFont="1" applyFill="1" applyBorder="1" applyProtection="1"/>
    <xf numFmtId="0" fontId="0" fillId="2" borderId="12" xfId="0" applyFont="1" applyFill="1" applyBorder="1" applyAlignment="1">
      <alignment horizontal="right" vertical="top"/>
    </xf>
    <xf numFmtId="44" fontId="0" fillId="2" borderId="1" xfId="1" applyFont="1" applyFill="1" applyBorder="1" applyAlignment="1">
      <alignment horizontal="center"/>
    </xf>
    <xf numFmtId="10" fontId="0" fillId="2" borderId="15" xfId="0" applyNumberFormat="1" applyFont="1" applyFill="1" applyBorder="1" applyProtection="1"/>
    <xf numFmtId="9" fontId="0" fillId="2" borderId="0" xfId="0" applyNumberFormat="1" applyFont="1" applyFill="1"/>
    <xf numFmtId="44" fontId="0" fillId="2" borderId="10" xfId="2" applyNumberFormat="1" applyFont="1" applyFill="1" applyBorder="1" applyProtection="1"/>
    <xf numFmtId="165" fontId="0" fillId="2" borderId="6" xfId="2" applyNumberFormat="1" applyFont="1" applyFill="1" applyBorder="1" applyProtection="1"/>
    <xf numFmtId="165" fontId="0" fillId="2" borderId="10" xfId="2" applyNumberFormat="1" applyFont="1" applyFill="1" applyBorder="1" applyProtection="1"/>
    <xf numFmtId="164" fontId="0" fillId="2" borderId="0" xfId="0" applyNumberFormat="1" applyFont="1" applyFill="1"/>
    <xf numFmtId="9" fontId="0" fillId="2" borderId="0" xfId="0" applyNumberFormat="1" applyFont="1" applyFill="1" applyBorder="1"/>
    <xf numFmtId="9" fontId="0" fillId="2" borderId="2" xfId="0" applyNumberFormat="1" applyFont="1" applyFill="1" applyBorder="1"/>
    <xf numFmtId="164" fontId="0" fillId="2" borderId="1" xfId="0" applyNumberFormat="1" applyFont="1" applyFill="1" applyBorder="1" applyAlignment="1" applyProtection="1">
      <alignment horizontal="center"/>
    </xf>
    <xf numFmtId="164" fontId="0" fillId="0" borderId="0" xfId="2" applyNumberFormat="1" applyFont="1" applyFill="1" applyBorder="1" applyProtection="1"/>
    <xf numFmtId="9" fontId="0" fillId="2" borderId="1" xfId="2" applyFont="1" applyFill="1" applyBorder="1" applyAlignment="1" applyProtection="1">
      <alignment horizontal="center" vertical="top"/>
    </xf>
    <xf numFmtId="164" fontId="0" fillId="2" borderId="0" xfId="0" applyNumberFormat="1" applyFont="1" applyFill="1" applyBorder="1"/>
    <xf numFmtId="0" fontId="0" fillId="2" borderId="11" xfId="0" applyFont="1" applyFill="1" applyBorder="1" applyAlignment="1" applyProtection="1">
      <alignment horizontal="right"/>
    </xf>
    <xf numFmtId="164" fontId="0" fillId="2" borderId="13" xfId="0" applyNumberFormat="1" applyFont="1" applyFill="1" applyBorder="1"/>
    <xf numFmtId="164" fontId="0" fillId="2" borderId="9" xfId="2" applyNumberFormat="1" applyFont="1" applyFill="1" applyBorder="1" applyProtection="1"/>
    <xf numFmtId="0" fontId="0" fillId="2" borderId="13" xfId="0" applyFont="1" applyFill="1" applyBorder="1" applyProtection="1"/>
    <xf numFmtId="0" fontId="0" fillId="2" borderId="0" xfId="0" applyFont="1" applyFill="1" applyBorder="1" applyAlignment="1" applyProtection="1">
      <alignment vertical="top" wrapText="1"/>
    </xf>
    <xf numFmtId="0" fontId="0" fillId="2" borderId="13" xfId="0" applyFont="1" applyFill="1" applyBorder="1" applyAlignment="1" applyProtection="1">
      <alignment vertical="top" wrapText="1"/>
    </xf>
    <xf numFmtId="0" fontId="0" fillId="0" borderId="0" xfId="0" applyFont="1" applyBorder="1" applyProtection="1"/>
    <xf numFmtId="0" fontId="0" fillId="0" borderId="0" xfId="0" applyFont="1" applyFill="1" applyBorder="1" applyProtection="1"/>
    <xf numFmtId="0" fontId="0" fillId="0" borderId="0" xfId="0" applyFont="1" applyAlignment="1" applyProtection="1">
      <alignment horizontal="left" indent="2"/>
    </xf>
    <xf numFmtId="0" fontId="0" fillId="2" borderId="9" xfId="0" applyFont="1" applyFill="1" applyBorder="1" applyProtection="1"/>
    <xf numFmtId="165" fontId="0" fillId="2" borderId="0" xfId="0" applyNumberFormat="1" applyFont="1" applyFill="1" applyBorder="1" applyProtection="1"/>
    <xf numFmtId="0" fontId="0" fillId="0" borderId="0" xfId="0" applyFont="1" applyFill="1" applyBorder="1" applyAlignment="1" applyProtection="1">
      <alignment vertical="top" wrapText="1"/>
    </xf>
    <xf numFmtId="0" fontId="0" fillId="0" borderId="0" xfId="0" applyFont="1" applyFill="1" applyProtection="1"/>
    <xf numFmtId="165" fontId="0" fillId="0" borderId="0" xfId="0" applyNumberFormat="1" applyFont="1" applyFill="1" applyBorder="1" applyProtection="1"/>
    <xf numFmtId="44" fontId="0" fillId="0" borderId="0" xfId="0" applyNumberFormat="1" applyFont="1" applyFill="1" applyBorder="1" applyProtection="1"/>
    <xf numFmtId="0" fontId="0" fillId="0" borderId="8" xfId="0" applyFont="1" applyFill="1" applyBorder="1" applyProtection="1"/>
    <xf numFmtId="165" fontId="0" fillId="0" borderId="0" xfId="0" applyNumberFormat="1" applyFont="1" applyProtection="1"/>
    <xf numFmtId="0" fontId="0" fillId="0" borderId="2" xfId="0" applyFont="1" applyBorder="1" applyProtection="1"/>
    <xf numFmtId="165" fontId="0" fillId="0" borderId="0" xfId="1" applyNumberFormat="1" applyFont="1" applyAlignment="1" applyProtection="1">
      <alignment horizontal="center"/>
    </xf>
    <xf numFmtId="0" fontId="0" fillId="0" borderId="2" xfId="0" applyFont="1" applyBorder="1" applyAlignment="1" applyProtection="1">
      <alignment horizontal="center"/>
    </xf>
    <xf numFmtId="167" fontId="0" fillId="2" borderId="1" xfId="0" applyNumberFormat="1" applyFont="1" applyFill="1" applyBorder="1" applyProtection="1"/>
    <xf numFmtId="165" fontId="0" fillId="0" borderId="0" xfId="1" applyNumberFormat="1" applyFont="1" applyProtection="1"/>
    <xf numFmtId="2" fontId="0" fillId="0" borderId="0" xfId="0" applyNumberFormat="1" applyFont="1" applyProtection="1"/>
    <xf numFmtId="0" fontId="0" fillId="0" borderId="0" xfId="0" applyFont="1" applyAlignment="1" applyProtection="1">
      <alignment horizontal="left"/>
    </xf>
    <xf numFmtId="0" fontId="0" fillId="0" borderId="0" xfId="0" quotePrefix="1" applyFont="1" applyFill="1" applyBorder="1" applyAlignment="1">
      <alignment horizontal="left" vertical="top" wrapText="1"/>
    </xf>
    <xf numFmtId="0" fontId="0" fillId="0" borderId="0" xfId="0" applyFont="1" applyFill="1" applyBorder="1" applyAlignment="1" applyProtection="1">
      <alignment horizontal="left" vertical="top"/>
    </xf>
    <xf numFmtId="0" fontId="2" fillId="0" borderId="0" xfId="0" applyFont="1" applyFill="1" applyBorder="1" applyAlignment="1">
      <alignment horizontal="left" vertical="top"/>
    </xf>
    <xf numFmtId="0" fontId="0" fillId="0" borderId="0" xfId="0" applyFont="1" applyFill="1" applyBorder="1" applyAlignment="1">
      <alignment horizontal="right" vertical="top"/>
    </xf>
    <xf numFmtId="0" fontId="0" fillId="0" borderId="0" xfId="0" applyFont="1" applyFill="1" applyBorder="1" applyAlignment="1">
      <alignment horizontal="right" vertical="top" wrapText="1"/>
    </xf>
    <xf numFmtId="0" fontId="0" fillId="0" borderId="0" xfId="0" quotePrefix="1" applyFont="1" applyFill="1" applyBorder="1" applyAlignment="1">
      <alignment horizontal="right" vertical="top" wrapText="1"/>
    </xf>
    <xf numFmtId="0" fontId="0" fillId="2" borderId="0" xfId="0" applyFont="1" applyFill="1" applyAlignment="1">
      <alignment horizontal="left" vertical="top" wrapText="1" readingOrder="1"/>
    </xf>
    <xf numFmtId="0" fontId="3" fillId="0" borderId="0" xfId="0" applyFont="1" applyAlignment="1">
      <alignment vertical="top"/>
    </xf>
    <xf numFmtId="0" fontId="4" fillId="0" borderId="0" xfId="0" applyFont="1" applyAlignment="1">
      <alignment vertical="top"/>
    </xf>
    <xf numFmtId="0" fontId="5" fillId="3" borderId="0" xfId="0" applyFont="1" applyFill="1" applyBorder="1" applyAlignment="1">
      <alignment horizontal="left" vertical="top" wrapText="1"/>
    </xf>
    <xf numFmtId="0" fontId="0" fillId="4" borderId="10" xfId="0" applyFont="1" applyFill="1" applyBorder="1" applyAlignment="1" applyProtection="1">
      <alignment horizontal="center"/>
      <protection locked="0"/>
    </xf>
    <xf numFmtId="44" fontId="0" fillId="0" borderId="0" xfId="0" applyNumberFormat="1" applyFont="1" applyProtection="1"/>
    <xf numFmtId="0" fontId="0" fillId="3" borderId="0" xfId="0" applyFont="1" applyFill="1" applyBorder="1" applyAlignment="1">
      <alignment horizontal="center" vertical="top" wrapText="1"/>
    </xf>
    <xf numFmtId="0" fontId="0" fillId="0" borderId="15" xfId="0" applyFont="1" applyFill="1" applyBorder="1" applyAlignment="1">
      <alignment horizontal="right" vertical="top"/>
    </xf>
    <xf numFmtId="164" fontId="0" fillId="2" borderId="13" xfId="2" applyNumberFormat="1" applyFont="1" applyFill="1" applyBorder="1" applyProtection="1"/>
    <xf numFmtId="0" fontId="0" fillId="2" borderId="13" xfId="0" applyFont="1" applyFill="1" applyBorder="1" applyAlignment="1" applyProtection="1">
      <alignment horizontal="right"/>
    </xf>
    <xf numFmtId="0" fontId="4" fillId="10" borderId="0" xfId="0" applyFont="1" applyFill="1" applyAlignment="1">
      <alignment vertical="top"/>
    </xf>
    <xf numFmtId="0" fontId="3" fillId="10" borderId="0" xfId="0" applyFont="1" applyFill="1" applyAlignment="1">
      <alignment vertical="top"/>
    </xf>
    <xf numFmtId="0" fontId="0" fillId="10" borderId="0" xfId="0" applyNumberFormat="1" applyFont="1" applyFill="1" applyBorder="1" applyAlignment="1" applyProtection="1">
      <alignment horizontal="center"/>
    </xf>
    <xf numFmtId="0" fontId="3" fillId="10" borderId="0" xfId="0" applyFont="1" applyFill="1" applyProtection="1"/>
    <xf numFmtId="0" fontId="4" fillId="10" borderId="0" xfId="0" applyFont="1" applyFill="1"/>
    <xf numFmtId="0" fontId="0" fillId="10" borderId="0" xfId="0" applyFont="1" applyFill="1"/>
    <xf numFmtId="0" fontId="0" fillId="10" borderId="0" xfId="0" applyFont="1" applyFill="1" applyBorder="1"/>
    <xf numFmtId="0" fontId="0" fillId="2" borderId="13" xfId="0" applyFont="1" applyFill="1" applyBorder="1"/>
    <xf numFmtId="0" fontId="0" fillId="9" borderId="12" xfId="0" applyFont="1" applyFill="1" applyBorder="1" applyAlignment="1">
      <alignment horizontal="left"/>
    </xf>
    <xf numFmtId="0" fontId="0" fillId="9" borderId="12" xfId="0" applyFont="1" applyFill="1" applyBorder="1" applyAlignment="1">
      <alignment horizontal="right"/>
    </xf>
    <xf numFmtId="1" fontId="0" fillId="2" borderId="1" xfId="0" applyNumberFormat="1" applyFont="1" applyFill="1" applyBorder="1" applyAlignment="1" applyProtection="1">
      <alignment horizontal="center"/>
    </xf>
    <xf numFmtId="166" fontId="0" fillId="2" borderId="10" xfId="0" applyNumberFormat="1" applyFont="1" applyFill="1" applyBorder="1" applyAlignment="1" applyProtection="1">
      <alignment horizontal="center"/>
    </xf>
    <xf numFmtId="0" fontId="0" fillId="2" borderId="15" xfId="0" applyFont="1" applyFill="1" applyBorder="1" applyAlignment="1">
      <alignment horizontal="right"/>
    </xf>
    <xf numFmtId="0" fontId="0" fillId="9" borderId="11" xfId="0" applyFont="1" applyFill="1" applyBorder="1" applyAlignment="1">
      <alignment horizontal="left"/>
    </xf>
    <xf numFmtId="0" fontId="0" fillId="2" borderId="7" xfId="0" applyFont="1" applyFill="1" applyBorder="1" applyAlignment="1">
      <alignment horizontal="right" vertical="top" wrapText="1"/>
    </xf>
    <xf numFmtId="0" fontId="0" fillId="2" borderId="11" xfId="0" applyFont="1" applyFill="1" applyBorder="1" applyAlignment="1" applyProtection="1">
      <alignment horizontal="left"/>
    </xf>
    <xf numFmtId="0" fontId="0" fillId="2" borderId="11" xfId="0" applyFont="1" applyFill="1" applyBorder="1" applyAlignment="1">
      <alignment horizontal="left" vertical="top"/>
    </xf>
    <xf numFmtId="0" fontId="0" fillId="9" borderId="11" xfId="0" applyFont="1" applyFill="1" applyBorder="1" applyAlignment="1">
      <alignment horizontal="right"/>
    </xf>
    <xf numFmtId="0" fontId="0" fillId="2" borderId="11" xfId="0" applyFont="1" applyFill="1" applyBorder="1" applyAlignment="1">
      <alignment horizontal="right"/>
    </xf>
    <xf numFmtId="44" fontId="0" fillId="2" borderId="0" xfId="0" applyNumberFormat="1" applyFont="1" applyFill="1" applyBorder="1" applyProtection="1"/>
    <xf numFmtId="0" fontId="5" fillId="2" borderId="22" xfId="0" applyFont="1" applyFill="1" applyBorder="1" applyAlignment="1" applyProtection="1">
      <alignment horizontal="left"/>
    </xf>
    <xf numFmtId="0" fontId="0" fillId="2" borderId="11" xfId="0" applyFont="1" applyFill="1" applyBorder="1" applyAlignment="1" applyProtection="1">
      <alignment horizontal="right" vertical="center"/>
    </xf>
    <xf numFmtId="0" fontId="0" fillId="2" borderId="11" xfId="0" applyFont="1" applyFill="1" applyBorder="1" applyAlignment="1" applyProtection="1">
      <alignment horizontal="center"/>
    </xf>
    <xf numFmtId="0" fontId="5" fillId="2" borderId="8" xfId="0" applyFont="1" applyFill="1" applyBorder="1" applyAlignment="1" applyProtection="1">
      <alignment horizontal="left" vertical="center" wrapText="1"/>
    </xf>
    <xf numFmtId="0" fontId="2" fillId="2" borderId="2" xfId="0" applyFont="1" applyFill="1" applyBorder="1" applyAlignment="1" applyProtection="1">
      <alignment horizontal="center" wrapText="1"/>
    </xf>
    <xf numFmtId="0" fontId="2" fillId="2" borderId="9" xfId="0" applyFont="1" applyFill="1" applyBorder="1" applyAlignment="1" applyProtection="1">
      <alignment horizontal="center" wrapText="1"/>
    </xf>
    <xf numFmtId="0" fontId="5" fillId="2" borderId="8" xfId="0" applyFont="1" applyFill="1" applyBorder="1" applyAlignment="1" applyProtection="1">
      <alignment horizontal="left" vertical="center"/>
    </xf>
    <xf numFmtId="0" fontId="2" fillId="2" borderId="16" xfId="0" applyFont="1" applyFill="1" applyBorder="1" applyAlignment="1" applyProtection="1">
      <alignment horizontal="center" wrapText="1"/>
    </xf>
    <xf numFmtId="9" fontId="0" fillId="0" borderId="10" xfId="2" applyFont="1" applyFill="1" applyBorder="1" applyProtection="1">
      <protection locked="0"/>
    </xf>
    <xf numFmtId="44" fontId="0" fillId="4" borderId="1" xfId="1" applyFont="1" applyFill="1" applyBorder="1" applyAlignment="1" applyProtection="1">
      <alignment horizontal="center"/>
      <protection locked="0"/>
    </xf>
    <xf numFmtId="44" fontId="0" fillId="4" borderId="3" xfId="1" applyFont="1" applyFill="1" applyBorder="1" applyAlignment="1" applyProtection="1">
      <alignment horizontal="center"/>
      <protection locked="0"/>
    </xf>
    <xf numFmtId="44" fontId="0" fillId="2" borderId="1" xfId="0" applyNumberFormat="1" applyFont="1" applyFill="1" applyBorder="1" applyProtection="1"/>
    <xf numFmtId="165" fontId="0" fillId="7" borderId="1" xfId="1" applyNumberFormat="1" applyFont="1" applyFill="1" applyBorder="1" applyProtection="1"/>
    <xf numFmtId="165" fontId="2" fillId="7" borderId="15" xfId="1" applyNumberFormat="1" applyFont="1" applyFill="1" applyBorder="1" applyProtection="1"/>
    <xf numFmtId="166" fontId="0" fillId="2" borderId="11" xfId="0" applyNumberFormat="1" applyFont="1" applyFill="1" applyBorder="1" applyAlignment="1" applyProtection="1">
      <alignment horizontal="center"/>
    </xf>
    <xf numFmtId="0" fontId="11" fillId="2" borderId="0" xfId="0" applyFont="1" applyFill="1" applyBorder="1" applyAlignment="1">
      <alignment horizontal="right"/>
    </xf>
    <xf numFmtId="0" fontId="0" fillId="2" borderId="1" xfId="0" applyFont="1" applyFill="1" applyBorder="1" applyAlignment="1">
      <alignment horizontal="left"/>
    </xf>
    <xf numFmtId="44" fontId="2" fillId="2" borderId="1" xfId="0" applyNumberFormat="1" applyFont="1" applyFill="1" applyBorder="1" applyProtection="1"/>
    <xf numFmtId="44" fontId="2" fillId="2" borderId="14" xfId="0" applyNumberFormat="1" applyFont="1" applyFill="1" applyBorder="1" applyProtection="1"/>
    <xf numFmtId="0" fontId="0" fillId="3" borderId="1" xfId="0" applyFont="1" applyFill="1" applyBorder="1" applyAlignment="1" applyProtection="1">
      <alignment horizontal="right"/>
    </xf>
    <xf numFmtId="9" fontId="0" fillId="3" borderId="1" xfId="2" applyFont="1" applyFill="1" applyBorder="1" applyAlignment="1" applyProtection="1">
      <alignment horizontal="center"/>
    </xf>
    <xf numFmtId="0" fontId="0" fillId="2" borderId="15" xfId="0" applyFont="1" applyFill="1" applyBorder="1" applyAlignment="1" applyProtection="1">
      <alignment horizontal="right"/>
    </xf>
    <xf numFmtId="44" fontId="0" fillId="3" borderId="8" xfId="2" applyNumberFormat="1" applyFont="1" applyFill="1" applyBorder="1" applyProtection="1"/>
    <xf numFmtId="0" fontId="0" fillId="2" borderId="10" xfId="0" applyFont="1" applyFill="1" applyBorder="1" applyAlignment="1" applyProtection="1">
      <alignment horizontal="right"/>
    </xf>
    <xf numFmtId="44" fontId="0" fillId="3" borderId="11" xfId="2" applyNumberFormat="1" applyFont="1" applyFill="1" applyBorder="1" applyProtection="1"/>
    <xf numFmtId="44" fontId="0" fillId="3" borderId="11" xfId="0" applyNumberFormat="1" applyFont="1" applyFill="1" applyBorder="1" applyProtection="1"/>
    <xf numFmtId="164" fontId="0" fillId="2" borderId="10" xfId="0" applyNumberFormat="1" applyFont="1" applyFill="1" applyBorder="1" applyAlignment="1" applyProtection="1">
      <alignment horizontal="center"/>
    </xf>
    <xf numFmtId="164" fontId="2" fillId="2" borderId="11" xfId="2" applyNumberFormat="1" applyFont="1" applyFill="1" applyBorder="1" applyAlignment="1" applyProtection="1">
      <alignment horizontal="center"/>
    </xf>
    <xf numFmtId="165" fontId="2" fillId="2" borderId="1" xfId="0" applyNumberFormat="1" applyFont="1" applyFill="1" applyBorder="1" applyProtection="1"/>
    <xf numFmtId="165" fontId="0" fillId="2" borderId="11" xfId="0" applyNumberFormat="1" applyFont="1" applyFill="1" applyBorder="1" applyProtection="1"/>
    <xf numFmtId="44" fontId="2" fillId="2" borderId="11" xfId="0" applyNumberFormat="1" applyFont="1" applyFill="1" applyBorder="1" applyProtection="1"/>
    <xf numFmtId="165" fontId="2" fillId="7" borderId="1" xfId="1" applyNumberFormat="1" applyFont="1" applyFill="1" applyBorder="1" applyProtection="1"/>
    <xf numFmtId="0" fontId="2" fillId="2" borderId="15" xfId="0" applyFont="1" applyFill="1" applyBorder="1" applyAlignment="1">
      <alignment horizontal="right"/>
    </xf>
    <xf numFmtId="165" fontId="2" fillId="7" borderId="1" xfId="1" applyNumberFormat="1" applyFont="1" applyFill="1" applyBorder="1"/>
    <xf numFmtId="44" fontId="2" fillId="2" borderId="1" xfId="2" applyNumberFormat="1" applyFont="1" applyFill="1" applyBorder="1" applyProtection="1"/>
    <xf numFmtId="0" fontId="0" fillId="0" borderId="0" xfId="0" applyFont="1" applyFill="1"/>
    <xf numFmtId="0" fontId="2" fillId="0" borderId="3" xfId="0" applyFont="1" applyBorder="1" applyAlignment="1">
      <alignment horizontal="right"/>
    </xf>
    <xf numFmtId="165" fontId="2" fillId="2" borderId="1" xfId="1" applyNumberFormat="1" applyFont="1" applyFill="1" applyBorder="1" applyProtection="1"/>
    <xf numFmtId="167" fontId="2" fillId="2" borderId="1" xfId="0" applyNumberFormat="1" applyFont="1" applyFill="1" applyBorder="1" applyProtection="1"/>
    <xf numFmtId="0" fontId="2" fillId="2" borderId="3" xfId="0" applyFont="1" applyFill="1" applyBorder="1" applyAlignment="1" applyProtection="1">
      <alignment horizontal="center" vertical="center" wrapText="1"/>
    </xf>
    <xf numFmtId="0" fontId="0" fillId="0" borderId="0" xfId="0" applyFont="1" applyAlignment="1">
      <alignment horizontal="right"/>
    </xf>
    <xf numFmtId="0" fontId="0" fillId="0" borderId="0" xfId="0" applyFont="1" applyAlignment="1">
      <alignment horizontal="center"/>
    </xf>
    <xf numFmtId="0" fontId="0" fillId="0" borderId="1" xfId="0" applyFont="1" applyBorder="1" applyAlignment="1">
      <alignment horizontal="right"/>
    </xf>
    <xf numFmtId="0" fontId="0" fillId="0" borderId="1" xfId="0" applyFont="1" applyBorder="1"/>
    <xf numFmtId="0" fontId="0" fillId="0" borderId="0" xfId="0" applyFont="1" applyBorder="1" applyAlignment="1">
      <alignment horizontal="right"/>
    </xf>
    <xf numFmtId="0" fontId="0" fillId="2" borderId="0" xfId="0" applyFont="1" applyFill="1" applyBorder="1"/>
    <xf numFmtId="0" fontId="0" fillId="0" borderId="2" xfId="0" applyFont="1" applyBorder="1" applyAlignment="1">
      <alignment horizontal="left"/>
    </xf>
    <xf numFmtId="165" fontId="0" fillId="3" borderId="5" xfId="0" applyNumberFormat="1" applyFont="1" applyFill="1" applyBorder="1"/>
    <xf numFmtId="0" fontId="2" fillId="2" borderId="1" xfId="0" applyFont="1" applyFill="1" applyBorder="1" applyAlignment="1">
      <alignment horizontal="left" vertical="top"/>
    </xf>
    <xf numFmtId="0" fontId="2" fillId="2" borderId="1" xfId="0" applyFont="1" applyFill="1" applyBorder="1" applyAlignment="1">
      <alignment horizontal="left"/>
    </xf>
    <xf numFmtId="0" fontId="0" fillId="3" borderId="1" xfId="0" applyFont="1" applyFill="1" applyBorder="1"/>
    <xf numFmtId="165" fontId="0" fillId="2" borderId="1" xfId="1" applyNumberFormat="1" applyFont="1" applyFill="1" applyBorder="1"/>
    <xf numFmtId="0" fontId="2" fillId="3" borderId="1" xfId="0" applyFont="1" applyFill="1" applyBorder="1" applyAlignment="1">
      <alignment horizontal="left"/>
    </xf>
    <xf numFmtId="165" fontId="2" fillId="3" borderId="1" xfId="1" applyNumberFormat="1" applyFont="1" applyFill="1" applyBorder="1"/>
    <xf numFmtId="0" fontId="2" fillId="2" borderId="0" xfId="0" applyFont="1" applyFill="1" applyAlignment="1">
      <alignment horizontal="right"/>
    </xf>
    <xf numFmtId="165" fontId="0" fillId="2" borderId="1" xfId="0" applyNumberFormat="1" applyFont="1" applyFill="1" applyBorder="1"/>
    <xf numFmtId="9" fontId="0" fillId="2" borderId="1" xfId="2" applyFont="1" applyFill="1" applyBorder="1" applyAlignment="1">
      <alignment horizontal="right"/>
    </xf>
    <xf numFmtId="0" fontId="16" fillId="2" borderId="4" xfId="0" applyFont="1" applyFill="1" applyBorder="1"/>
    <xf numFmtId="166" fontId="0" fillId="2" borderId="1" xfId="0" applyNumberFormat="1" applyFont="1" applyFill="1" applyBorder="1" applyAlignment="1" applyProtection="1">
      <alignment horizontal="center"/>
    </xf>
    <xf numFmtId="165" fontId="0" fillId="2" borderId="6" xfId="1" applyNumberFormat="1" applyFont="1" applyFill="1" applyBorder="1" applyProtection="1"/>
    <xf numFmtId="165" fontId="0" fillId="3" borderId="1" xfId="0" applyNumberFormat="1" applyFont="1" applyFill="1" applyBorder="1"/>
    <xf numFmtId="0" fontId="0" fillId="0" borderId="0" xfId="0" applyFont="1" applyBorder="1" applyAlignment="1">
      <alignment horizontal="center"/>
    </xf>
    <xf numFmtId="165" fontId="2" fillId="2" borderId="11" xfId="0" applyNumberFormat="1" applyFont="1" applyFill="1" applyBorder="1" applyProtection="1"/>
    <xf numFmtId="0" fontId="0" fillId="2" borderId="3" xfId="0" applyFont="1" applyFill="1" applyBorder="1" applyAlignment="1" applyProtection="1">
      <alignment horizontal="right"/>
    </xf>
    <xf numFmtId="0" fontId="2" fillId="0" borderId="0" xfId="0" applyFont="1" applyBorder="1" applyAlignment="1">
      <alignment horizontal="right"/>
    </xf>
    <xf numFmtId="165" fontId="2" fillId="0" borderId="0" xfId="0" applyNumberFormat="1" applyFont="1" applyFill="1" applyBorder="1" applyProtection="1"/>
    <xf numFmtId="0" fontId="2" fillId="6" borderId="0" xfId="0" applyFont="1" applyFill="1"/>
    <xf numFmtId="0" fontId="2" fillId="0" borderId="0" xfId="0" applyFont="1" applyAlignment="1">
      <alignment horizontal="center"/>
    </xf>
    <xf numFmtId="0" fontId="0" fillId="0" borderId="5" xfId="0" applyFont="1" applyBorder="1"/>
    <xf numFmtId="165" fontId="0" fillId="2" borderId="1" xfId="0" applyNumberFormat="1" applyFont="1" applyFill="1" applyBorder="1" applyAlignment="1">
      <alignment horizontal="center"/>
    </xf>
    <xf numFmtId="165" fontId="0" fillId="2" borderId="10" xfId="0" applyNumberFormat="1" applyFont="1" applyFill="1" applyBorder="1" applyAlignment="1">
      <alignment horizontal="center"/>
    </xf>
    <xf numFmtId="44" fontId="0" fillId="2" borderId="1" xfId="0" applyNumberFormat="1" applyFont="1" applyFill="1" applyBorder="1"/>
    <xf numFmtId="165" fontId="0" fillId="2" borderId="11" xfId="0" applyNumberFormat="1" applyFont="1" applyFill="1" applyBorder="1"/>
    <xf numFmtId="0" fontId="0" fillId="6" borderId="0" xfId="0" applyFont="1" applyFill="1" applyBorder="1"/>
    <xf numFmtId="0" fontId="17" fillId="0" borderId="1" xfId="0" applyFont="1" applyFill="1" applyBorder="1" applyAlignment="1">
      <alignment vertical="center" wrapText="1"/>
    </xf>
    <xf numFmtId="0" fontId="0" fillId="0" borderId="0" xfId="0" applyFont="1" applyFill="1" applyBorder="1" applyAlignment="1">
      <alignment horizontal="center"/>
    </xf>
    <xf numFmtId="0" fontId="0" fillId="0" borderId="15" xfId="0" applyFont="1" applyFill="1" applyBorder="1" applyAlignment="1">
      <alignment horizontal="center"/>
    </xf>
    <xf numFmtId="0" fontId="2" fillId="6" borderId="3" xfId="0" applyFont="1" applyFill="1" applyBorder="1"/>
    <xf numFmtId="0" fontId="0" fillId="6" borderId="5" xfId="0" applyFont="1" applyFill="1" applyBorder="1" applyProtection="1"/>
    <xf numFmtId="165" fontId="0" fillId="0" borderId="0" xfId="0" applyNumberFormat="1" applyFont="1" applyFill="1" applyBorder="1"/>
    <xf numFmtId="44" fontId="0" fillId="2" borderId="11" xfId="0" applyNumberFormat="1" applyFont="1" applyFill="1" applyBorder="1" applyProtection="1"/>
    <xf numFmtId="0" fontId="2" fillId="2" borderId="13" xfId="0" applyFont="1" applyFill="1" applyBorder="1" applyProtection="1"/>
    <xf numFmtId="0" fontId="0" fillId="2" borderId="10" xfId="0" applyFont="1" applyFill="1" applyBorder="1" applyAlignment="1">
      <alignment horizontal="right"/>
    </xf>
    <xf numFmtId="0" fontId="2" fillId="2" borderId="10" xfId="0" applyFont="1" applyFill="1" applyBorder="1" applyProtection="1"/>
    <xf numFmtId="0" fontId="2" fillId="2" borderId="12" xfId="0" applyFont="1" applyFill="1" applyBorder="1" applyAlignment="1" applyProtection="1">
      <alignment horizontal="left"/>
    </xf>
    <xf numFmtId="44" fontId="2" fillId="2" borderId="15" xfId="0" applyNumberFormat="1" applyFont="1" applyFill="1" applyBorder="1" applyProtection="1"/>
    <xf numFmtId="0" fontId="0" fillId="2" borderId="14" xfId="0" applyFont="1" applyFill="1" applyBorder="1" applyAlignment="1" applyProtection="1">
      <alignment horizontal="right"/>
    </xf>
    <xf numFmtId="1" fontId="0" fillId="2" borderId="16" xfId="0" applyNumberFormat="1" applyFont="1" applyFill="1" applyBorder="1" applyAlignment="1" applyProtection="1">
      <alignment horizontal="center"/>
    </xf>
    <xf numFmtId="0" fontId="5" fillId="3" borderId="8" xfId="0" applyFont="1" applyFill="1" applyBorder="1" applyAlignment="1" applyProtection="1">
      <alignment horizontal="left"/>
    </xf>
    <xf numFmtId="0" fontId="0" fillId="3" borderId="2" xfId="0" applyFont="1" applyFill="1" applyBorder="1" applyProtection="1"/>
    <xf numFmtId="0" fontId="0" fillId="3" borderId="9" xfId="0" applyFont="1" applyFill="1" applyBorder="1" applyProtection="1"/>
    <xf numFmtId="0" fontId="5" fillId="3" borderId="3" xfId="0" applyFont="1" applyFill="1" applyBorder="1" applyAlignment="1" applyProtection="1">
      <alignment horizontal="left"/>
    </xf>
    <xf numFmtId="165" fontId="0" fillId="3" borderId="2" xfId="0" applyNumberFormat="1" applyFont="1" applyFill="1" applyBorder="1" applyProtection="1"/>
    <xf numFmtId="165" fontId="0" fillId="7" borderId="15" xfId="1" applyNumberFormat="1" applyFont="1" applyFill="1" applyBorder="1" applyProtection="1"/>
    <xf numFmtId="0" fontId="2" fillId="2" borderId="0" xfId="3" applyFont="1" applyFill="1" applyAlignment="1" applyProtection="1">
      <alignment horizontal="right"/>
    </xf>
    <xf numFmtId="0" fontId="2" fillId="2" borderId="10" xfId="0" applyFont="1" applyFill="1" applyBorder="1" applyAlignment="1">
      <alignment horizontal="left" vertical="top"/>
    </xf>
    <xf numFmtId="0" fontId="0" fillId="2" borderId="15" xfId="0" applyFont="1" applyFill="1" applyBorder="1" applyAlignment="1">
      <alignment horizontal="right" vertical="top"/>
    </xf>
    <xf numFmtId="0" fontId="8" fillId="0" borderId="0" xfId="0" applyFont="1" applyAlignment="1">
      <alignment wrapText="1"/>
    </xf>
    <xf numFmtId="0" fontId="2" fillId="0" borderId="1" xfId="0" applyFont="1" applyBorder="1" applyAlignment="1">
      <alignment horizontal="center"/>
    </xf>
    <xf numFmtId="0" fontId="2" fillId="0" borderId="0" xfId="0" applyFont="1" applyFill="1" applyBorder="1" applyAlignment="1">
      <alignment horizontal="right" vertical="top" wrapText="1"/>
    </xf>
    <xf numFmtId="0" fontId="2" fillId="11" borderId="1" xfId="0" applyFont="1" applyFill="1" applyBorder="1" applyAlignment="1" applyProtection="1">
      <alignment horizontal="center"/>
      <protection locked="0"/>
    </xf>
    <xf numFmtId="165" fontId="0" fillId="0" borderId="1" xfId="1" applyNumberFormat="1" applyFont="1" applyFill="1" applyBorder="1" applyProtection="1">
      <protection locked="0"/>
    </xf>
    <xf numFmtId="9" fontId="0" fillId="0" borderId="0" xfId="0" applyNumberFormat="1" applyFont="1" applyProtection="1"/>
    <xf numFmtId="0" fontId="0" fillId="0" borderId="1" xfId="0" applyFont="1" applyBorder="1" applyProtection="1"/>
    <xf numFmtId="0" fontId="0" fillId="5" borderId="1" xfId="0" applyFont="1" applyFill="1" applyBorder="1" applyAlignment="1" applyProtection="1">
      <alignment horizontal="center"/>
    </xf>
    <xf numFmtId="10" fontId="0" fillId="0" borderId="0" xfId="0" applyNumberFormat="1" applyFont="1" applyProtection="1"/>
    <xf numFmtId="9" fontId="0" fillId="0" borderId="0" xfId="0" applyNumberFormat="1" applyFont="1" applyBorder="1" applyProtection="1"/>
    <xf numFmtId="0" fontId="0" fillId="0" borderId="1" xfId="0" applyFont="1" applyFill="1" applyBorder="1" applyProtection="1"/>
    <xf numFmtId="10" fontId="0" fillId="0" borderId="0" xfId="2" applyNumberFormat="1" applyFont="1" applyProtection="1"/>
    <xf numFmtId="44" fontId="0" fillId="0" borderId="1" xfId="0" applyNumberFormat="1" applyFont="1" applyFill="1" applyBorder="1"/>
    <xf numFmtId="44" fontId="0" fillId="2" borderId="11" xfId="1" applyFont="1" applyFill="1" applyBorder="1"/>
    <xf numFmtId="0" fontId="0" fillId="0" borderId="3" xfId="0" applyFont="1" applyBorder="1"/>
    <xf numFmtId="0" fontId="0" fillId="0" borderId="3" xfId="0" applyFont="1" applyFill="1" applyBorder="1"/>
    <xf numFmtId="44" fontId="0" fillId="2" borderId="11" xfId="0" applyNumberFormat="1" applyFont="1" applyFill="1" applyBorder="1"/>
    <xf numFmtId="0" fontId="2" fillId="0" borderId="0" xfId="0" applyFont="1" applyAlignment="1">
      <alignment horizontal="right"/>
    </xf>
    <xf numFmtId="0" fontId="2" fillId="0" borderId="0" xfId="0" applyFont="1" applyFill="1" applyBorder="1" applyAlignment="1" applyProtection="1">
      <alignment horizontal="right"/>
    </xf>
    <xf numFmtId="0" fontId="2" fillId="0" borderId="0" xfId="0" applyFont="1" applyAlignment="1">
      <alignment horizontal="left"/>
    </xf>
    <xf numFmtId="0" fontId="2" fillId="0" borderId="1" xfId="0" applyFont="1" applyFill="1" applyBorder="1" applyProtection="1"/>
    <xf numFmtId="0" fontId="0" fillId="0" borderId="8" xfId="0" applyFont="1" applyBorder="1"/>
    <xf numFmtId="0" fontId="0" fillId="0" borderId="23" xfId="0" applyFont="1" applyFill="1" applyBorder="1"/>
    <xf numFmtId="10" fontId="0" fillId="11" borderId="1" xfId="2" applyNumberFormat="1" applyFont="1" applyFill="1" applyBorder="1" applyAlignment="1" applyProtection="1">
      <alignment horizontal="right"/>
      <protection locked="0"/>
    </xf>
    <xf numFmtId="2" fontId="0" fillId="11" borderId="1" xfId="2" applyNumberFormat="1" applyFont="1" applyFill="1" applyBorder="1" applyAlignment="1" applyProtection="1">
      <alignment horizontal="right"/>
      <protection locked="0"/>
    </xf>
    <xf numFmtId="10" fontId="0" fillId="11" borderId="1" xfId="0" applyNumberFormat="1" applyFont="1" applyFill="1" applyBorder="1" applyProtection="1"/>
    <xf numFmtId="10" fontId="0" fillId="11" borderId="1" xfId="2" applyNumberFormat="1" applyFont="1" applyFill="1" applyBorder="1"/>
    <xf numFmtId="10" fontId="0" fillId="11" borderId="1" xfId="2" applyNumberFormat="1" applyFont="1" applyFill="1" applyBorder="1" applyAlignment="1">
      <alignment horizontal="right"/>
    </xf>
    <xf numFmtId="2" fontId="0" fillId="11" borderId="11" xfId="2" applyNumberFormat="1" applyFont="1" applyFill="1" applyBorder="1" applyAlignment="1">
      <alignment horizontal="right"/>
    </xf>
    <xf numFmtId="2" fontId="0" fillId="11" borderId="1" xfId="2" applyNumberFormat="1" applyFont="1" applyFill="1" applyBorder="1" applyAlignment="1">
      <alignment horizontal="right"/>
    </xf>
    <xf numFmtId="0" fontId="2" fillId="0" borderId="11" xfId="0" applyFont="1" applyFill="1" applyBorder="1" applyProtection="1"/>
    <xf numFmtId="0" fontId="0" fillId="0" borderId="11" xfId="0" applyFont="1" applyFill="1" applyBorder="1" applyProtection="1"/>
    <xf numFmtId="0" fontId="0" fillId="0" borderId="25" xfId="0" applyFont="1" applyFill="1" applyBorder="1" applyProtection="1"/>
    <xf numFmtId="0" fontId="0" fillId="0" borderId="7" xfId="0" applyFont="1" applyFill="1" applyBorder="1" applyProtection="1"/>
    <xf numFmtId="2" fontId="0" fillId="0" borderId="0" xfId="0" applyNumberFormat="1" applyFont="1" applyBorder="1" applyProtection="1"/>
    <xf numFmtId="0" fontId="5" fillId="12" borderId="0" xfId="0" applyFont="1" applyFill="1" applyBorder="1" applyAlignment="1" applyProtection="1">
      <alignment horizontal="left"/>
    </xf>
    <xf numFmtId="165" fontId="2" fillId="12" borderId="0" xfId="0" applyNumberFormat="1" applyFont="1" applyFill="1" applyBorder="1" applyProtection="1"/>
    <xf numFmtId="0" fontId="0" fillId="12" borderId="0" xfId="0" applyFont="1" applyFill="1" applyProtection="1"/>
    <xf numFmtId="0" fontId="2" fillId="2" borderId="10" xfId="0" applyFont="1" applyFill="1" applyBorder="1" applyAlignment="1" applyProtection="1">
      <alignment horizontal="left"/>
    </xf>
    <xf numFmtId="0" fontId="0" fillId="2" borderId="1" xfId="0" applyFont="1" applyFill="1" applyBorder="1" applyAlignment="1" applyProtection="1">
      <alignment horizontal="left"/>
    </xf>
    <xf numFmtId="165" fontId="0" fillId="0" borderId="1" xfId="0" applyNumberFormat="1" applyFont="1" applyFill="1" applyBorder="1" applyAlignment="1">
      <alignment horizontal="center"/>
    </xf>
    <xf numFmtId="165" fontId="0" fillId="0" borderId="1" xfId="0" applyNumberFormat="1" applyFont="1" applyFill="1" applyBorder="1" applyAlignment="1">
      <alignment horizontal="left"/>
    </xf>
    <xf numFmtId="165" fontId="0" fillId="0" borderId="1" xfId="0" applyNumberFormat="1" applyFont="1" applyFill="1" applyBorder="1"/>
    <xf numFmtId="0" fontId="0" fillId="0" borderId="13" xfId="0" applyFont="1" applyFill="1" applyBorder="1"/>
    <xf numFmtId="0" fontId="0" fillId="0" borderId="13" xfId="0" applyFont="1" applyFill="1" applyBorder="1" applyAlignment="1">
      <alignment horizontal="left"/>
    </xf>
    <xf numFmtId="0" fontId="0" fillId="6" borderId="0" xfId="0" applyFont="1" applyFill="1" applyAlignment="1">
      <alignment horizontal="left"/>
    </xf>
    <xf numFmtId="0" fontId="0" fillId="0" borderId="5" xfId="0" applyFont="1" applyFill="1" applyBorder="1" applyProtection="1"/>
    <xf numFmtId="9" fontId="0" fillId="0" borderId="5" xfId="0" applyNumberFormat="1" applyFont="1" applyFill="1" applyBorder="1" applyProtection="1"/>
    <xf numFmtId="9" fontId="0" fillId="0" borderId="1" xfId="0" applyNumberFormat="1" applyFont="1" applyFill="1" applyBorder="1" applyProtection="1"/>
    <xf numFmtId="165" fontId="0" fillId="0" borderId="5" xfId="0" applyNumberFormat="1" applyFont="1" applyFill="1" applyBorder="1" applyProtection="1"/>
    <xf numFmtId="165" fontId="0" fillId="0" borderId="1" xfId="0" applyNumberFormat="1" applyFont="1" applyFill="1" applyBorder="1" applyProtection="1"/>
    <xf numFmtId="9" fontId="0" fillId="0" borderId="1" xfId="0" applyNumberFormat="1" applyFont="1" applyFill="1" applyBorder="1" applyProtection="1">
      <protection locked="0"/>
    </xf>
    <xf numFmtId="9" fontId="0" fillId="0" borderId="1" xfId="2" applyFont="1" applyFill="1" applyBorder="1" applyProtection="1">
      <protection locked="0"/>
    </xf>
    <xf numFmtId="44" fontId="0" fillId="2" borderId="10" xfId="1" applyNumberFormat="1" applyFont="1" applyFill="1" applyBorder="1" applyProtection="1"/>
    <xf numFmtId="166" fontId="0" fillId="2" borderId="11" xfId="2" applyNumberFormat="1" applyFont="1" applyFill="1" applyBorder="1" applyAlignment="1" applyProtection="1">
      <alignment horizontal="center"/>
    </xf>
    <xf numFmtId="0" fontId="0" fillId="0" borderId="1" xfId="0" applyFont="1" applyFill="1" applyBorder="1" applyAlignment="1" applyProtection="1">
      <alignment horizontal="right"/>
    </xf>
    <xf numFmtId="10" fontId="0" fillId="3" borderId="1" xfId="2" applyNumberFormat="1" applyFont="1" applyFill="1" applyBorder="1" applyAlignment="1" applyProtection="1">
      <alignment horizontal="left"/>
    </xf>
    <xf numFmtId="10" fontId="0" fillId="3" borderId="1" xfId="0" applyNumberFormat="1" applyFont="1" applyFill="1" applyBorder="1" applyAlignment="1" applyProtection="1">
      <alignment horizontal="left"/>
    </xf>
    <xf numFmtId="10" fontId="0" fillId="3" borderId="11" xfId="0" applyNumberFormat="1" applyFont="1" applyFill="1" applyBorder="1" applyAlignment="1" applyProtection="1">
      <alignment horizontal="left"/>
    </xf>
    <xf numFmtId="0" fontId="2" fillId="0" borderId="1"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left"/>
    </xf>
    <xf numFmtId="0" fontId="2" fillId="0" borderId="0" xfId="0" applyFont="1" applyBorder="1"/>
    <xf numFmtId="0" fontId="9" fillId="10" borderId="0" xfId="0" applyFont="1" applyFill="1" applyBorder="1" applyAlignment="1">
      <alignment wrapText="1"/>
    </xf>
    <xf numFmtId="0" fontId="5" fillId="0" borderId="0" xfId="0" applyFont="1" applyBorder="1" applyAlignment="1">
      <alignment wrapText="1"/>
    </xf>
    <xf numFmtId="0" fontId="0" fillId="13" borderId="3" xfId="0" applyFont="1" applyFill="1" applyBorder="1" applyAlignment="1">
      <alignment horizontal="center"/>
    </xf>
    <xf numFmtId="0" fontId="0" fillId="7" borderId="1" xfId="0" applyFont="1" applyFill="1" applyBorder="1" applyAlignment="1">
      <alignment horizontal="center"/>
    </xf>
    <xf numFmtId="1" fontId="0" fillId="2" borderId="1" xfId="0" applyNumberFormat="1" applyFont="1" applyFill="1" applyBorder="1" applyProtection="1"/>
    <xf numFmtId="9" fontId="0" fillId="2" borderId="1" xfId="0" applyNumberFormat="1" applyFont="1" applyFill="1" applyBorder="1" applyAlignment="1" applyProtection="1">
      <alignment horizontal="center"/>
    </xf>
    <xf numFmtId="44" fontId="0" fillId="0" borderId="0" xfId="0" applyNumberFormat="1" applyFont="1"/>
    <xf numFmtId="0" fontId="16" fillId="2" borderId="2" xfId="0" applyFont="1" applyFill="1" applyBorder="1" applyAlignment="1"/>
    <xf numFmtId="0" fontId="2" fillId="3" borderId="9" xfId="0" applyFont="1" applyFill="1" applyBorder="1" applyAlignment="1">
      <alignment horizontal="center" wrapText="1"/>
    </xf>
    <xf numFmtId="0" fontId="5" fillId="2" borderId="1" xfId="0" applyFont="1" applyFill="1" applyBorder="1" applyAlignment="1">
      <alignment wrapText="1"/>
    </xf>
    <xf numFmtId="0" fontId="5" fillId="2" borderId="1" xfId="0" applyFont="1" applyFill="1" applyBorder="1" applyAlignment="1">
      <alignment horizontal="center" wrapText="1"/>
    </xf>
    <xf numFmtId="2" fontId="0" fillId="2" borderId="1" xfId="0" applyNumberFormat="1" applyFont="1" applyFill="1" applyBorder="1" applyAlignment="1">
      <alignment horizontal="center"/>
    </xf>
    <xf numFmtId="2" fontId="0" fillId="2" borderId="26" xfId="0" applyNumberFormat="1" applyFont="1" applyFill="1" applyBorder="1" applyAlignment="1">
      <alignment horizontal="center"/>
    </xf>
    <xf numFmtId="2" fontId="0" fillId="14" borderId="1" xfId="0" applyNumberFormat="1" applyFont="1" applyFill="1" applyBorder="1" applyAlignment="1" applyProtection="1">
      <alignment horizontal="center"/>
      <protection locked="0"/>
    </xf>
    <xf numFmtId="2" fontId="0" fillId="13" borderId="26" xfId="0" applyNumberFormat="1" applyFont="1" applyFill="1" applyBorder="1" applyAlignment="1" applyProtection="1">
      <alignment horizontal="center"/>
      <protection locked="0"/>
    </xf>
    <xf numFmtId="0" fontId="0" fillId="0" borderId="0" xfId="0" applyFont="1" applyAlignment="1">
      <alignment horizontal="left" vertical="top" wrapText="1" readingOrder="1"/>
    </xf>
    <xf numFmtId="0" fontId="0" fillId="0" borderId="0" xfId="0" applyFont="1" applyFill="1" applyBorder="1" applyAlignment="1">
      <alignment horizontal="left" vertical="top" wrapText="1"/>
    </xf>
    <xf numFmtId="0" fontId="0" fillId="2" borderId="0" xfId="0" applyFont="1" applyFill="1" applyAlignment="1">
      <alignment horizontal="left" vertical="top" wrapText="1"/>
    </xf>
    <xf numFmtId="44" fontId="0" fillId="2" borderId="0" xfId="0" applyNumberFormat="1" applyFont="1" applyFill="1" applyProtection="1"/>
    <xf numFmtId="0" fontId="3" fillId="0" borderId="0" xfId="0" applyFont="1" applyFill="1" applyProtection="1"/>
    <xf numFmtId="0" fontId="4" fillId="0" borderId="0" xfId="0" applyFont="1" applyFill="1"/>
    <xf numFmtId="0" fontId="9" fillId="0" borderId="0" xfId="0" applyFont="1" applyFill="1" applyBorder="1" applyAlignment="1">
      <alignment wrapText="1"/>
    </xf>
    <xf numFmtId="0" fontId="2" fillId="2" borderId="23" xfId="0" applyFont="1" applyFill="1" applyBorder="1" applyAlignment="1" applyProtection="1">
      <alignment horizontal="center" wrapText="1"/>
    </xf>
    <xf numFmtId="0" fontId="2" fillId="2" borderId="0" xfId="0" applyFont="1" applyFill="1" applyBorder="1" applyAlignment="1" applyProtection="1">
      <alignment horizontal="center" wrapText="1"/>
    </xf>
    <xf numFmtId="0" fontId="0" fillId="2" borderId="0" xfId="0" applyFont="1" applyFill="1" applyBorder="1" applyAlignment="1" applyProtection="1">
      <alignment horizontal="center"/>
    </xf>
    <xf numFmtId="1" fontId="0" fillId="2" borderId="0" xfId="0" applyNumberFormat="1" applyFont="1" applyFill="1" applyBorder="1" applyAlignment="1" applyProtection="1">
      <alignment horizontal="center"/>
    </xf>
    <xf numFmtId="9" fontId="0" fillId="3" borderId="8" xfId="2" applyFont="1" applyFill="1" applyBorder="1" applyAlignment="1" applyProtection="1">
      <alignment horizontal="center"/>
    </xf>
    <xf numFmtId="166" fontId="0" fillId="2" borderId="0" xfId="2" applyNumberFormat="1" applyFont="1" applyFill="1" applyBorder="1" applyAlignment="1" applyProtection="1">
      <alignment horizontal="center"/>
    </xf>
    <xf numFmtId="166" fontId="0" fillId="2" borderId="0" xfId="0" applyNumberFormat="1" applyFont="1" applyFill="1" applyBorder="1" applyAlignment="1" applyProtection="1">
      <alignment horizontal="center"/>
    </xf>
    <xf numFmtId="9" fontId="0" fillId="2" borderId="0" xfId="2" applyFont="1" applyFill="1" applyBorder="1" applyAlignment="1" applyProtection="1">
      <alignment horizontal="center"/>
    </xf>
    <xf numFmtId="44" fontId="2" fillId="2" borderId="0" xfId="0" applyNumberFormat="1" applyFont="1" applyFill="1" applyBorder="1" applyProtection="1"/>
    <xf numFmtId="164" fontId="0" fillId="2" borderId="0" xfId="0" applyNumberFormat="1" applyFont="1" applyFill="1" applyBorder="1" applyAlignment="1" applyProtection="1">
      <alignment horizontal="center"/>
    </xf>
    <xf numFmtId="9" fontId="0" fillId="2" borderId="0" xfId="2" applyFont="1" applyFill="1" applyBorder="1" applyAlignment="1" applyProtection="1">
      <alignment horizontal="center" vertical="top"/>
    </xf>
    <xf numFmtId="165" fontId="0" fillId="2" borderId="2" xfId="1" applyNumberFormat="1" applyFont="1" applyFill="1" applyBorder="1" applyProtection="1"/>
    <xf numFmtId="1" fontId="0" fillId="2" borderId="2" xfId="1" applyNumberFormat="1" applyFont="1" applyFill="1" applyBorder="1" applyAlignment="1">
      <alignment horizontal="center"/>
    </xf>
    <xf numFmtId="1" fontId="0" fillId="2" borderId="0" xfId="2" applyNumberFormat="1" applyFont="1" applyFill="1" applyBorder="1" applyAlignment="1" applyProtection="1">
      <alignment horizontal="center"/>
    </xf>
    <xf numFmtId="1" fontId="2" fillId="2" borderId="0" xfId="0" applyNumberFormat="1" applyFont="1" applyFill="1" applyBorder="1" applyAlignment="1" applyProtection="1">
      <alignment horizontal="center"/>
    </xf>
    <xf numFmtId="0" fontId="0" fillId="2" borderId="27" xfId="0" applyFont="1" applyFill="1" applyBorder="1" applyProtection="1"/>
    <xf numFmtId="0" fontId="0" fillId="2" borderId="6" xfId="0" applyFont="1" applyFill="1" applyBorder="1" applyProtection="1"/>
    <xf numFmtId="0" fontId="2" fillId="2" borderId="3" xfId="0" applyFont="1" applyFill="1" applyBorder="1" applyAlignment="1" applyProtection="1">
      <alignment horizontal="right"/>
    </xf>
    <xf numFmtId="0" fontId="2" fillId="2" borderId="5" xfId="0" applyFont="1" applyFill="1" applyBorder="1" applyAlignment="1" applyProtection="1">
      <alignment horizontal="right"/>
    </xf>
    <xf numFmtId="0" fontId="2" fillId="2" borderId="1" xfId="0" applyFont="1" applyFill="1" applyBorder="1" applyAlignment="1" applyProtection="1">
      <alignment horizontal="center"/>
    </xf>
    <xf numFmtId="44" fontId="2" fillId="2" borderId="1" xfId="1" applyFont="1" applyFill="1" applyBorder="1" applyAlignment="1">
      <alignment horizontal="center"/>
    </xf>
    <xf numFmtId="0" fontId="0" fillId="3" borderId="12" xfId="0" applyFont="1" applyFill="1" applyBorder="1" applyAlignment="1" applyProtection="1">
      <alignment horizontal="center"/>
    </xf>
    <xf numFmtId="10" fontId="0" fillId="2" borderId="0" xfId="2" applyNumberFormat="1" applyFont="1" applyFill="1" applyBorder="1" applyAlignment="1" applyProtection="1">
      <alignment horizontal="center"/>
    </xf>
    <xf numFmtId="10" fontId="0" fillId="2" borderId="0" xfId="0" applyNumberFormat="1" applyFont="1" applyFill="1" applyBorder="1" applyAlignment="1" applyProtection="1">
      <alignment horizontal="center"/>
    </xf>
    <xf numFmtId="10" fontId="0" fillId="2" borderId="12" xfId="0" applyNumberFormat="1" applyFont="1" applyFill="1" applyBorder="1" applyAlignment="1" applyProtection="1">
      <alignment horizontal="center"/>
    </xf>
    <xf numFmtId="0" fontId="0" fillId="2" borderId="2" xfId="0" applyFont="1" applyFill="1" applyBorder="1" applyAlignment="1" applyProtection="1">
      <alignment horizontal="center"/>
    </xf>
    <xf numFmtId="0" fontId="2" fillId="2" borderId="0" xfId="0" applyFont="1" applyFill="1" applyProtection="1"/>
    <xf numFmtId="0" fontId="2" fillId="3" borderId="12" xfId="0" applyFont="1" applyFill="1" applyBorder="1" applyAlignment="1" applyProtection="1">
      <alignment horizontal="right"/>
    </xf>
    <xf numFmtId="0" fontId="2" fillId="3" borderId="1" xfId="0" applyFont="1" applyFill="1" applyBorder="1" applyAlignment="1" applyProtection="1">
      <alignment horizontal="right"/>
    </xf>
    <xf numFmtId="44" fontId="0" fillId="0" borderId="1" xfId="1" applyFont="1" applyBorder="1" applyProtection="1">
      <protection locked="0"/>
    </xf>
    <xf numFmtId="0" fontId="0" fillId="2" borderId="6" xfId="0" applyFont="1" applyFill="1" applyBorder="1" applyAlignment="1" applyProtection="1">
      <alignment horizontal="center"/>
    </xf>
    <xf numFmtId="0" fontId="0" fillId="2" borderId="7" xfId="0" applyFont="1" applyFill="1" applyBorder="1" applyAlignment="1" applyProtection="1">
      <alignment horizontal="left"/>
    </xf>
    <xf numFmtId="0" fontId="0" fillId="2" borderId="17" xfId="0" applyFont="1" applyFill="1" applyBorder="1" applyProtection="1"/>
    <xf numFmtId="0" fontId="8" fillId="0" borderId="0" xfId="0" applyFont="1" applyAlignment="1">
      <alignment vertical="center" readingOrder="1"/>
    </xf>
    <xf numFmtId="0" fontId="20" fillId="0" borderId="0" xfId="0" applyFont="1" applyAlignment="1" applyProtection="1">
      <alignment horizontal="right" vertical="top" wrapText="1"/>
      <protection locked="0"/>
    </xf>
    <xf numFmtId="0" fontId="0" fillId="10" borderId="0" xfId="0" applyFont="1" applyFill="1" applyAlignment="1">
      <alignment vertical="top"/>
    </xf>
    <xf numFmtId="0" fontId="0" fillId="0" borderId="0" xfId="0" applyFont="1" applyAlignment="1">
      <alignment vertical="center" readingOrder="1"/>
    </xf>
    <xf numFmtId="0" fontId="0" fillId="0" borderId="0" xfId="0" applyFont="1" applyFill="1" applyAlignment="1">
      <alignment vertical="top"/>
    </xf>
    <xf numFmtId="0" fontId="0" fillId="0" borderId="0" xfId="0" applyFont="1" applyAlignment="1">
      <alignment vertical="top"/>
    </xf>
    <xf numFmtId="0" fontId="0" fillId="0" borderId="0" xfId="0" applyFont="1" applyAlignment="1">
      <alignment horizontal="right" vertical="top" wrapText="1"/>
    </xf>
    <xf numFmtId="0" fontId="0" fillId="3" borderId="1" xfId="0" applyFont="1" applyFill="1" applyBorder="1" applyAlignment="1" applyProtection="1">
      <alignment horizontal="center"/>
    </xf>
    <xf numFmtId="164" fontId="0" fillId="3" borderId="1" xfId="2" applyNumberFormat="1" applyFont="1" applyFill="1" applyBorder="1" applyProtection="1"/>
    <xf numFmtId="44" fontId="0" fillId="2" borderId="0" xfId="1" applyFont="1" applyFill="1" applyBorder="1" applyProtection="1"/>
    <xf numFmtId="164" fontId="0" fillId="5" borderId="1" xfId="2" applyNumberFormat="1" applyFont="1" applyFill="1" applyBorder="1" applyProtection="1"/>
    <xf numFmtId="0" fontId="0" fillId="2" borderId="12" xfId="0" applyFont="1" applyFill="1" applyBorder="1" applyAlignment="1">
      <alignment horizontal="right"/>
    </xf>
    <xf numFmtId="0" fontId="0" fillId="2" borderId="8" xfId="0" applyFont="1" applyFill="1" applyBorder="1" applyAlignment="1">
      <alignment horizontal="right"/>
    </xf>
    <xf numFmtId="0" fontId="0" fillId="2" borderId="6" xfId="0" applyFont="1" applyFill="1" applyBorder="1" applyAlignment="1" applyProtection="1">
      <alignment horizontal="right"/>
    </xf>
    <xf numFmtId="0" fontId="0" fillId="6" borderId="1" xfId="0" applyFont="1" applyFill="1" applyBorder="1" applyAlignment="1" applyProtection="1"/>
    <xf numFmtId="0" fontId="0" fillId="0" borderId="0" xfId="0" applyFont="1" applyFill="1" applyAlignment="1" applyProtection="1">
      <alignment horizontal="right"/>
    </xf>
    <xf numFmtId="0" fontId="0" fillId="0" borderId="13" xfId="0" applyFont="1" applyFill="1" applyBorder="1" applyAlignment="1" applyProtection="1">
      <alignment horizontal="right"/>
    </xf>
    <xf numFmtId="44" fontId="0" fillId="0" borderId="13" xfId="0" applyNumberFormat="1" applyFont="1" applyFill="1" applyBorder="1" applyAlignment="1" applyProtection="1">
      <alignment horizontal="right"/>
    </xf>
    <xf numFmtId="0" fontId="0" fillId="0" borderId="9" xfId="0" applyFont="1" applyFill="1" applyBorder="1" applyAlignment="1" applyProtection="1">
      <alignment horizontal="right"/>
    </xf>
    <xf numFmtId="0" fontId="0" fillId="0" borderId="0" xfId="0" applyFont="1" applyAlignment="1" applyProtection="1">
      <alignment horizontal="right"/>
    </xf>
    <xf numFmtId="0" fontId="13" fillId="2" borderId="0" xfId="0" applyFont="1" applyFill="1" applyProtection="1"/>
    <xf numFmtId="0" fontId="0" fillId="6" borderId="1" xfId="0" applyFont="1" applyFill="1" applyBorder="1" applyAlignment="1" applyProtection="1">
      <alignment horizontal="left"/>
    </xf>
    <xf numFmtId="165" fontId="0" fillId="2" borderId="1" xfId="1" applyNumberFormat="1" applyFont="1" applyFill="1" applyBorder="1" applyAlignment="1" applyProtection="1">
      <alignment horizontal="left"/>
    </xf>
    <xf numFmtId="0" fontId="0" fillId="6" borderId="1" xfId="0" applyFont="1" applyFill="1" applyBorder="1" applyAlignment="1" applyProtection="1">
      <alignment vertical="top" wrapText="1"/>
    </xf>
    <xf numFmtId="1" fontId="0" fillId="2" borderId="1" xfId="0" applyNumberFormat="1" applyFont="1" applyFill="1" applyBorder="1" applyAlignment="1" applyProtection="1">
      <alignment vertical="top" wrapText="1"/>
    </xf>
    <xf numFmtId="0" fontId="13" fillId="2" borderId="0" xfId="0" applyFont="1" applyFill="1" applyBorder="1" applyAlignment="1" applyProtection="1">
      <alignment vertical="top" wrapText="1"/>
    </xf>
    <xf numFmtId="166" fontId="0" fillId="2" borderId="1" xfId="0" applyNumberFormat="1" applyFont="1" applyFill="1" applyBorder="1" applyProtection="1"/>
    <xf numFmtId="0" fontId="0" fillId="0" borderId="0" xfId="0" applyFont="1" applyFill="1" applyBorder="1" applyAlignment="1" applyProtection="1">
      <alignment horizontal="right"/>
    </xf>
    <xf numFmtId="44" fontId="0" fillId="2" borderId="1" xfId="1" applyNumberFormat="1" applyFont="1" applyFill="1" applyBorder="1" applyProtection="1"/>
    <xf numFmtId="6" fontId="0" fillId="0" borderId="0" xfId="0" applyNumberFormat="1" applyFont="1" applyAlignment="1" applyProtection="1">
      <alignment horizontal="right"/>
    </xf>
    <xf numFmtId="44" fontId="0" fillId="0" borderId="0" xfId="0" applyNumberFormat="1" applyFont="1" applyAlignment="1" applyProtection="1">
      <alignment horizontal="right"/>
    </xf>
    <xf numFmtId="0" fontId="0" fillId="0" borderId="0" xfId="0" applyFont="1" applyFill="1" applyBorder="1" applyAlignment="1" applyProtection="1">
      <alignment horizontal="left"/>
    </xf>
    <xf numFmtId="0" fontId="0" fillId="6" borderId="2" xfId="0" applyFont="1" applyFill="1" applyBorder="1" applyAlignment="1" applyProtection="1">
      <alignment horizontal="left"/>
    </xf>
    <xf numFmtId="0" fontId="0" fillId="0" borderId="2" xfId="0" applyFont="1" applyBorder="1" applyAlignment="1" applyProtection="1">
      <alignment horizontal="right"/>
    </xf>
    <xf numFmtId="1" fontId="0" fillId="2" borderId="1" xfId="0" applyNumberFormat="1" applyFont="1" applyFill="1" applyBorder="1" applyAlignment="1" applyProtection="1">
      <alignment horizontal="right"/>
    </xf>
    <xf numFmtId="0" fontId="0" fillId="0" borderId="2" xfId="0" applyFont="1" applyFill="1" applyBorder="1" applyAlignment="1" applyProtection="1">
      <alignment horizontal="center"/>
    </xf>
    <xf numFmtId="1" fontId="0" fillId="0" borderId="0" xfId="2" applyNumberFormat="1" applyFont="1" applyFill="1" applyBorder="1" applyAlignment="1" applyProtection="1">
      <alignment horizontal="center"/>
    </xf>
    <xf numFmtId="166" fontId="0" fillId="2" borderId="1" xfId="1" applyNumberFormat="1" applyFont="1" applyFill="1" applyBorder="1" applyAlignment="1" applyProtection="1">
      <alignment horizontal="center"/>
    </xf>
    <xf numFmtId="166" fontId="0" fillId="0" borderId="0" xfId="1" applyNumberFormat="1" applyFont="1" applyFill="1" applyBorder="1" applyAlignment="1" applyProtection="1">
      <alignment horizontal="center"/>
    </xf>
    <xf numFmtId="0" fontId="0" fillId="6" borderId="1" xfId="0" applyFont="1" applyFill="1" applyBorder="1" applyProtection="1"/>
    <xf numFmtId="0" fontId="0" fillId="0" borderId="0" xfId="0" applyFont="1" applyFill="1" applyAlignment="1" applyProtection="1">
      <alignment horizontal="center"/>
    </xf>
    <xf numFmtId="0" fontId="0" fillId="6" borderId="10" xfId="0" applyFont="1" applyFill="1" applyBorder="1" applyProtection="1"/>
    <xf numFmtId="44" fontId="0" fillId="2" borderId="1" xfId="0" applyNumberFormat="1" applyFont="1" applyFill="1" applyBorder="1" applyAlignment="1" applyProtection="1"/>
    <xf numFmtId="0" fontId="0" fillId="0" borderId="10" xfId="0" applyFont="1" applyFill="1" applyBorder="1" applyAlignment="1" applyProtection="1">
      <alignment horizontal="center"/>
    </xf>
    <xf numFmtId="0" fontId="21" fillId="0" borderId="1" xfId="0" applyFont="1" applyFill="1" applyBorder="1" applyAlignment="1">
      <alignment vertical="center" wrapText="1"/>
    </xf>
    <xf numFmtId="165" fontId="21" fillId="0" borderId="1" xfId="0" applyNumberFormat="1" applyFont="1" applyFill="1" applyBorder="1" applyAlignment="1">
      <alignment vertical="center" wrapText="1"/>
    </xf>
    <xf numFmtId="165" fontId="21" fillId="0" borderId="1" xfId="0" applyNumberFormat="1" applyFont="1" applyFill="1" applyBorder="1" applyAlignment="1">
      <alignment horizontal="right" vertical="center" wrapText="1"/>
    </xf>
    <xf numFmtId="165" fontId="21" fillId="0" borderId="3" xfId="0" applyNumberFormat="1" applyFont="1" applyFill="1" applyBorder="1" applyAlignment="1">
      <alignment vertical="center" wrapText="1"/>
    </xf>
    <xf numFmtId="0" fontId="17" fillId="6" borderId="0" xfId="0" applyFont="1" applyFill="1" applyBorder="1" applyAlignment="1">
      <alignment vertical="center"/>
    </xf>
    <xf numFmtId="10" fontId="0" fillId="0" borderId="1" xfId="0" applyNumberFormat="1" applyFont="1" applyFill="1" applyBorder="1" applyProtection="1"/>
    <xf numFmtId="10" fontId="0" fillId="0" borderId="1" xfId="2" applyNumberFormat="1" applyFont="1" applyFill="1" applyBorder="1" applyProtection="1"/>
    <xf numFmtId="10" fontId="0" fillId="0" borderId="1" xfId="2" applyNumberFormat="1" applyFont="1" applyFill="1" applyBorder="1" applyAlignment="1" applyProtection="1">
      <alignment horizontal="right"/>
    </xf>
    <xf numFmtId="9" fontId="0" fillId="0" borderId="1" xfId="0" applyNumberFormat="1" applyFont="1" applyFill="1" applyBorder="1"/>
    <xf numFmtId="10" fontId="0" fillId="0" borderId="1" xfId="0" applyNumberFormat="1" applyFont="1" applyFill="1" applyBorder="1"/>
    <xf numFmtId="44" fontId="0" fillId="0" borderId="1" xfId="1" applyFont="1" applyFill="1" applyBorder="1"/>
    <xf numFmtId="10" fontId="0" fillId="0" borderId="16" xfId="2" applyNumberFormat="1" applyFont="1" applyFill="1" applyBorder="1" applyAlignment="1" applyProtection="1">
      <alignment horizontal="right"/>
    </xf>
    <xf numFmtId="9" fontId="0" fillId="0" borderId="16" xfId="0" applyNumberFormat="1" applyFont="1" applyFill="1" applyBorder="1"/>
    <xf numFmtId="44" fontId="0" fillId="0" borderId="16" xfId="1" applyFont="1" applyFill="1" applyBorder="1"/>
    <xf numFmtId="0" fontId="0" fillId="0" borderId="1" xfId="0" applyFont="1" applyFill="1" applyBorder="1" applyAlignment="1">
      <alignment horizontal="right"/>
    </xf>
    <xf numFmtId="2" fontId="0" fillId="0" borderId="1" xfId="0" applyNumberFormat="1" applyFont="1" applyFill="1" applyBorder="1"/>
    <xf numFmtId="2" fontId="0" fillId="0" borderId="1" xfId="2" applyNumberFormat="1" applyFont="1" applyFill="1" applyBorder="1" applyProtection="1"/>
    <xf numFmtId="0" fontId="0" fillId="0" borderId="1" xfId="0" applyFont="1" applyFill="1" applyBorder="1"/>
    <xf numFmtId="0" fontId="0" fillId="6" borderId="0" xfId="0" applyFont="1" applyFill="1" applyProtection="1"/>
    <xf numFmtId="0" fontId="23" fillId="2" borderId="0" xfId="3" applyFont="1" applyFill="1" applyAlignment="1" applyProtection="1">
      <alignment horizontal="right"/>
      <protection locked="0"/>
    </xf>
    <xf numFmtId="0" fontId="23" fillId="2" borderId="0" xfId="3" applyFont="1" applyFill="1" applyAlignment="1">
      <alignment horizontal="right"/>
    </xf>
    <xf numFmtId="9" fontId="0" fillId="0" borderId="1" xfId="2" applyFont="1" applyFill="1" applyBorder="1" applyAlignment="1" applyProtection="1">
      <alignment horizontal="center"/>
      <protection locked="0"/>
    </xf>
    <xf numFmtId="1" fontId="0" fillId="2" borderId="11" xfId="2" applyNumberFormat="1" applyFont="1" applyFill="1" applyBorder="1" applyAlignment="1" applyProtection="1">
      <alignment horizontal="center"/>
    </xf>
    <xf numFmtId="0" fontId="23" fillId="2" borderId="6" xfId="3" applyFont="1" applyFill="1" applyBorder="1" applyAlignment="1" applyProtection="1">
      <alignment horizontal="right"/>
      <protection locked="0"/>
    </xf>
    <xf numFmtId="0" fontId="23" fillId="2" borderId="10" xfId="3" applyFont="1" applyFill="1" applyBorder="1" applyAlignment="1" applyProtection="1">
      <alignment horizontal="right"/>
      <protection locked="0"/>
    </xf>
    <xf numFmtId="9" fontId="0" fillId="0" borderId="1" xfId="2" applyNumberFormat="1" applyFont="1" applyBorder="1" applyProtection="1">
      <protection locked="0"/>
    </xf>
    <xf numFmtId="0" fontId="23" fillId="2" borderId="0" xfId="3" applyFont="1" applyFill="1" applyBorder="1" applyAlignment="1" applyProtection="1">
      <alignment horizontal="right"/>
      <protection locked="0"/>
    </xf>
    <xf numFmtId="0" fontId="23" fillId="2" borderId="0" xfId="3" applyFont="1" applyFill="1" applyBorder="1" applyAlignment="1" applyProtection="1">
      <alignment horizontal="right" vertical="top"/>
      <protection locked="0"/>
    </xf>
    <xf numFmtId="0" fontId="0" fillId="2" borderId="0" xfId="3" applyFont="1" applyFill="1" applyAlignment="1" applyProtection="1">
      <alignment horizontal="right"/>
    </xf>
    <xf numFmtId="0" fontId="0" fillId="2" borderId="11" xfId="3" applyFont="1" applyFill="1" applyBorder="1" applyAlignment="1" applyProtection="1">
      <alignment horizontal="right"/>
    </xf>
    <xf numFmtId="0" fontId="9" fillId="3" borderId="1" xfId="3" applyFont="1" applyFill="1" applyBorder="1" applyAlignment="1" applyProtection="1">
      <alignment horizontal="right"/>
      <protection locked="0"/>
    </xf>
    <xf numFmtId="0" fontId="23" fillId="3" borderId="0" xfId="3" applyFont="1" applyFill="1" applyBorder="1" applyAlignment="1" applyProtection="1">
      <alignment horizontal="right"/>
      <protection locked="0"/>
    </xf>
    <xf numFmtId="0" fontId="0" fillId="3" borderId="0" xfId="3" applyFont="1" applyFill="1" applyBorder="1" applyAlignment="1">
      <alignment horizontal="right"/>
    </xf>
    <xf numFmtId="0" fontId="23" fillId="2" borderId="0" xfId="3" applyFont="1" applyFill="1" applyBorder="1" applyAlignment="1" applyProtection="1">
      <alignment horizontal="right" vertical="top" wrapText="1"/>
      <protection locked="0"/>
    </xf>
    <xf numFmtId="0" fontId="0" fillId="2" borderId="0" xfId="0" applyFont="1" applyFill="1" applyAlignment="1">
      <alignment horizontal="left" vertical="top"/>
    </xf>
    <xf numFmtId="0" fontId="0" fillId="0" borderId="0" xfId="0" applyFont="1" applyAlignment="1">
      <alignment horizontal="center" vertical="top"/>
    </xf>
    <xf numFmtId="0" fontId="0" fillId="2" borderId="1" xfId="0" applyFont="1" applyFill="1" applyBorder="1" applyAlignment="1">
      <alignment horizontal="center" vertical="top"/>
    </xf>
    <xf numFmtId="0" fontId="0" fillId="2" borderId="12" xfId="0" applyFont="1" applyFill="1" applyBorder="1" applyAlignment="1">
      <alignment horizontal="center"/>
    </xf>
    <xf numFmtId="0" fontId="0" fillId="2" borderId="11" xfId="0" applyFont="1" applyFill="1" applyBorder="1" applyAlignment="1">
      <alignment horizontal="center"/>
    </xf>
    <xf numFmtId="0" fontId="23" fillId="2" borderId="0" xfId="3" quotePrefix="1" applyFont="1" applyFill="1" applyBorder="1" applyAlignment="1" applyProtection="1">
      <alignment horizontal="right" vertical="top" wrapText="1"/>
      <protection locked="0"/>
    </xf>
    <xf numFmtId="0" fontId="23" fillId="2" borderId="0" xfId="3" applyFont="1" applyFill="1" applyBorder="1" applyAlignment="1" applyProtection="1">
      <alignment horizontal="right" vertical="top" wrapText="1"/>
    </xf>
    <xf numFmtId="0" fontId="0" fillId="2" borderId="12" xfId="0" applyFont="1" applyFill="1" applyBorder="1" applyAlignment="1" applyProtection="1">
      <alignment horizontal="left"/>
    </xf>
    <xf numFmtId="0" fontId="0" fillId="0" borderId="8" xfId="0" applyFont="1" applyFill="1" applyBorder="1" applyAlignment="1" applyProtection="1">
      <alignment horizontal="left"/>
      <protection locked="0"/>
    </xf>
    <xf numFmtId="0" fontId="0" fillId="0" borderId="0" xfId="0" applyFont="1" applyAlignment="1">
      <alignment vertical="top"/>
    </xf>
    <xf numFmtId="0" fontId="0" fillId="2" borderId="3" xfId="0" applyFont="1" applyFill="1" applyBorder="1" applyProtection="1"/>
    <xf numFmtId="0" fontId="0" fillId="0" borderId="5" xfId="0" applyFont="1" applyBorder="1" applyProtection="1"/>
    <xf numFmtId="0" fontId="0" fillId="0" borderId="3" xfId="0" applyFont="1" applyFill="1" applyBorder="1" applyAlignment="1" applyProtection="1">
      <alignment horizontal="left"/>
    </xf>
    <xf numFmtId="0" fontId="0" fillId="0" borderId="3" xfId="0" applyFont="1" applyFill="1" applyBorder="1" applyProtection="1"/>
    <xf numFmtId="0" fontId="2" fillId="0" borderId="8" xfId="0" applyFont="1" applyBorder="1" applyAlignment="1" applyProtection="1">
      <alignment horizontal="center"/>
    </xf>
    <xf numFmtId="0" fontId="0" fillId="0" borderId="0" xfId="0" applyFont="1" applyFill="1" applyBorder="1" applyAlignment="1">
      <alignment horizontal="left"/>
    </xf>
    <xf numFmtId="165" fontId="0" fillId="0" borderId="3" xfId="0" applyNumberFormat="1" applyFont="1" applyFill="1" applyBorder="1" applyAlignment="1">
      <alignment horizontal="left"/>
    </xf>
    <xf numFmtId="165" fontId="0" fillId="0" borderId="3" xfId="0" applyNumberFormat="1" applyFont="1" applyFill="1" applyBorder="1" applyProtection="1"/>
    <xf numFmtId="165" fontId="0" fillId="2" borderId="3" xfId="0" applyNumberFormat="1" applyFont="1" applyFill="1" applyBorder="1" applyProtection="1"/>
    <xf numFmtId="165" fontId="0" fillId="3" borderId="1" xfId="0" applyNumberFormat="1" applyFont="1" applyFill="1" applyBorder="1" applyProtection="1"/>
    <xf numFmtId="10" fontId="0" fillId="0" borderId="0" xfId="0" applyNumberFormat="1" applyFont="1" applyAlignment="1" applyProtection="1">
      <alignment horizontal="center"/>
    </xf>
    <xf numFmtId="1" fontId="0" fillId="0" borderId="1" xfId="0" applyNumberFormat="1" applyFont="1" applyFill="1" applyBorder="1" applyAlignment="1" applyProtection="1">
      <alignment horizontal="center"/>
    </xf>
    <xf numFmtId="0" fontId="2" fillId="0" borderId="11" xfId="0" applyFont="1" applyBorder="1" applyAlignment="1" applyProtection="1">
      <alignment horizontal="center"/>
    </xf>
    <xf numFmtId="165" fontId="0" fillId="0" borderId="7" xfId="0" applyNumberFormat="1" applyFont="1" applyFill="1" applyBorder="1" applyAlignment="1">
      <alignment horizontal="left"/>
    </xf>
    <xf numFmtId="0" fontId="0" fillId="0" borderId="7" xfId="0" applyFont="1" applyBorder="1" applyProtection="1"/>
    <xf numFmtId="0" fontId="2" fillId="0" borderId="2" xfId="0" applyFont="1" applyFill="1" applyBorder="1" applyAlignment="1">
      <alignment horizontal="center"/>
    </xf>
    <xf numFmtId="0" fontId="2" fillId="0" borderId="2" xfId="0" applyFont="1" applyBorder="1" applyAlignment="1" applyProtection="1">
      <alignment horizontal="center"/>
    </xf>
    <xf numFmtId="165" fontId="0" fillId="0" borderId="15" xfId="0" applyNumberFormat="1" applyFont="1" applyBorder="1" applyProtection="1"/>
    <xf numFmtId="165" fontId="0" fillId="0" borderId="15" xfId="0" applyNumberFormat="1" applyFont="1" applyFill="1" applyBorder="1" applyProtection="1"/>
    <xf numFmtId="165" fontId="0" fillId="0" borderId="12" xfId="0" applyNumberFormat="1" applyFont="1" applyFill="1" applyBorder="1" applyProtection="1"/>
    <xf numFmtId="0" fontId="2" fillId="0" borderId="9" xfId="0" applyFont="1" applyBorder="1" applyAlignment="1" applyProtection="1">
      <alignment horizontal="center"/>
    </xf>
    <xf numFmtId="165" fontId="0" fillId="0" borderId="5" xfId="0" applyNumberFormat="1" applyFont="1" applyFill="1" applyBorder="1" applyAlignment="1">
      <alignment horizontal="left"/>
    </xf>
    <xf numFmtId="165" fontId="0" fillId="3" borderId="5" xfId="0" applyNumberFormat="1" applyFont="1" applyFill="1" applyBorder="1" applyProtection="1"/>
    <xf numFmtId="0" fontId="2" fillId="0" borderId="15" xfId="0" applyFont="1" applyFill="1" applyBorder="1" applyProtection="1"/>
    <xf numFmtId="165" fontId="0" fillId="0" borderId="0" xfId="1" applyNumberFormat="1" applyFont="1" applyBorder="1"/>
    <xf numFmtId="0" fontId="2" fillId="0" borderId="12" xfId="0" applyFont="1" applyBorder="1" applyProtection="1"/>
    <xf numFmtId="165" fontId="0" fillId="0" borderId="12" xfId="0" applyNumberFormat="1" applyFont="1" applyBorder="1" applyProtection="1"/>
    <xf numFmtId="0" fontId="0" fillId="2" borderId="5" xfId="0" applyFont="1" applyFill="1" applyBorder="1" applyProtection="1"/>
    <xf numFmtId="0" fontId="4" fillId="0" borderId="1" xfId="0" applyFont="1" applyFill="1" applyBorder="1" applyAlignment="1">
      <alignment horizontal="left" vertical="center" wrapText="1"/>
    </xf>
    <xf numFmtId="44" fontId="0" fillId="14" borderId="1" xfId="1" applyFont="1" applyFill="1" applyBorder="1" applyAlignment="1" applyProtection="1">
      <alignment horizontal="center"/>
      <protection locked="0"/>
    </xf>
    <xf numFmtId="44" fontId="0" fillId="2" borderId="10" xfId="1" applyNumberFormat="1" applyFont="1" applyFill="1" applyBorder="1" applyAlignment="1" applyProtection="1">
      <alignment horizontal="center"/>
    </xf>
    <xf numFmtId="0" fontId="0" fillId="2" borderId="29" xfId="0" applyFont="1" applyFill="1" applyBorder="1"/>
    <xf numFmtId="44" fontId="0" fillId="2" borderId="30" xfId="1" applyFont="1" applyFill="1" applyBorder="1"/>
    <xf numFmtId="44" fontId="0" fillId="2" borderId="31" xfId="1" applyFont="1" applyFill="1" applyBorder="1"/>
    <xf numFmtId="9" fontId="0" fillId="0" borderId="10" xfId="2" applyFont="1" applyBorder="1" applyAlignment="1" applyProtection="1">
      <alignment horizontal="center"/>
      <protection locked="0"/>
    </xf>
    <xf numFmtId="9" fontId="0" fillId="0" borderId="28" xfId="2" applyFont="1" applyBorder="1" applyAlignment="1" applyProtection="1">
      <alignment horizontal="center"/>
      <protection locked="0"/>
    </xf>
    <xf numFmtId="0" fontId="0" fillId="2" borderId="29" xfId="0" applyFont="1" applyFill="1" applyBorder="1" applyAlignment="1">
      <alignment horizontal="left"/>
    </xf>
    <xf numFmtId="44" fontId="0" fillId="2" borderId="30" xfId="1" applyFont="1" applyFill="1" applyBorder="1" applyAlignment="1" applyProtection="1">
      <alignment horizontal="center"/>
    </xf>
    <xf numFmtId="0" fontId="0" fillId="0" borderId="0" xfId="0" applyFont="1" applyAlignment="1">
      <alignment vertical="top"/>
    </xf>
    <xf numFmtId="2" fontId="0" fillId="2" borderId="10" xfId="0" applyNumberFormat="1" applyFont="1" applyFill="1" applyBorder="1" applyAlignment="1" applyProtection="1">
      <alignment horizontal="center"/>
    </xf>
    <xf numFmtId="0" fontId="0" fillId="0" borderId="0" xfId="0" applyAlignment="1">
      <alignment horizontal="right" vertical="top" wrapText="1"/>
    </xf>
    <xf numFmtId="165" fontId="0" fillId="2" borderId="1" xfId="2" applyNumberFormat="1" applyFont="1" applyFill="1" applyBorder="1" applyProtection="1"/>
    <xf numFmtId="2" fontId="0" fillId="0" borderId="10" xfId="0" applyNumberFormat="1" applyFont="1" applyFill="1" applyBorder="1" applyAlignment="1" applyProtection="1">
      <alignment horizontal="center"/>
      <protection locked="0"/>
    </xf>
    <xf numFmtId="2" fontId="0" fillId="0" borderId="28" xfId="0" applyNumberFormat="1" applyFont="1" applyFill="1" applyBorder="1" applyAlignment="1" applyProtection="1">
      <alignment horizontal="center"/>
      <protection locked="0"/>
    </xf>
    <xf numFmtId="8" fontId="0" fillId="2" borderId="11" xfId="0" applyNumberFormat="1" applyFont="1" applyFill="1" applyBorder="1" applyProtection="1"/>
    <xf numFmtId="8" fontId="0" fillId="0" borderId="1" xfId="0" applyNumberFormat="1" applyFont="1" applyBorder="1" applyAlignment="1">
      <alignment horizontal="right"/>
    </xf>
    <xf numFmtId="8" fontId="0" fillId="0" borderId="1" xfId="0" applyNumberFormat="1" applyFont="1" applyBorder="1"/>
    <xf numFmtId="44" fontId="0" fillId="13" borderId="10" xfId="1" applyNumberFormat="1" applyFont="1" applyFill="1" applyBorder="1" applyProtection="1">
      <protection locked="0"/>
    </xf>
    <xf numFmtId="0" fontId="10" fillId="0" borderId="0" xfId="3" applyFill="1" applyAlignment="1">
      <alignment horizontal="center"/>
    </xf>
    <xf numFmtId="164" fontId="24" fillId="0" borderId="1" xfId="2" applyNumberFormat="1" applyFont="1" applyFill="1" applyBorder="1" applyProtection="1"/>
    <xf numFmtId="0" fontId="24" fillId="0" borderId="0" xfId="0" applyFont="1" applyFill="1" applyProtection="1"/>
    <xf numFmtId="164" fontId="1" fillId="3" borderId="1" xfId="2" applyNumberFormat="1" applyFont="1" applyFill="1" applyBorder="1" applyProtection="1"/>
    <xf numFmtId="165" fontId="2" fillId="15" borderId="1" xfId="1" applyNumberFormat="1" applyFont="1" applyFill="1" applyBorder="1" applyProtection="1"/>
    <xf numFmtId="164" fontId="0" fillId="0" borderId="1" xfId="2" applyNumberFormat="1" applyFont="1" applyFill="1" applyBorder="1" applyProtection="1"/>
    <xf numFmtId="1" fontId="0" fillId="0" borderId="1" xfId="0" applyNumberFormat="1" applyFont="1" applyFill="1" applyBorder="1" applyAlignment="1" applyProtection="1">
      <alignment horizontal="center"/>
      <protection locked="0"/>
    </xf>
    <xf numFmtId="0" fontId="25" fillId="16" borderId="1" xfId="0" applyFont="1" applyFill="1" applyBorder="1"/>
    <xf numFmtId="0" fontId="25" fillId="16" borderId="11" xfId="0" applyFont="1" applyFill="1" applyBorder="1"/>
    <xf numFmtId="0" fontId="25" fillId="0" borderId="5" xfId="0" applyFont="1" applyFill="1" applyBorder="1"/>
    <xf numFmtId="0" fontId="25" fillId="0" borderId="1" xfId="0" applyFont="1" applyFill="1" applyBorder="1"/>
    <xf numFmtId="0" fontId="25" fillId="0" borderId="9" xfId="0" applyFont="1" applyFill="1" applyBorder="1"/>
    <xf numFmtId="0" fontId="25" fillId="0" borderId="0" xfId="0" applyFont="1" applyFill="1" applyBorder="1"/>
    <xf numFmtId="0" fontId="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0" fillId="3" borderId="1" xfId="0" applyFont="1" applyFill="1" applyBorder="1" applyProtection="1"/>
    <xf numFmtId="0" fontId="0" fillId="0" borderId="12" xfId="0" applyFont="1" applyFill="1" applyBorder="1" applyAlignment="1" applyProtection="1">
      <alignment horizontal="center"/>
    </xf>
    <xf numFmtId="9" fontId="0" fillId="0" borderId="0" xfId="2" applyFont="1" applyFill="1" applyBorder="1" applyProtection="1"/>
    <xf numFmtId="0" fontId="0" fillId="0" borderId="0" xfId="0" applyFont="1" applyAlignment="1">
      <alignment vertical="top"/>
    </xf>
    <xf numFmtId="0" fontId="27" fillId="2" borderId="11" xfId="0" applyFont="1" applyFill="1" applyBorder="1"/>
    <xf numFmtId="0" fontId="28" fillId="17" borderId="0" xfId="0" applyFont="1" applyFill="1" applyBorder="1" applyAlignment="1" applyProtection="1">
      <alignment horizontal="left"/>
    </xf>
    <xf numFmtId="165" fontId="28" fillId="17" borderId="0" xfId="0" applyNumberFormat="1" applyFont="1" applyFill="1" applyBorder="1" applyProtection="1"/>
    <xf numFmtId="0" fontId="28" fillId="17" borderId="0" xfId="0" applyFont="1" applyFill="1" applyBorder="1" applyAlignment="1" applyProtection="1">
      <alignment horizontal="right"/>
    </xf>
    <xf numFmtId="165" fontId="28" fillId="17" borderId="0" xfId="1" applyNumberFormat="1" applyFont="1" applyFill="1" applyBorder="1" applyProtection="1"/>
    <xf numFmtId="0" fontId="28" fillId="17" borderId="0" xfId="0" applyFont="1" applyFill="1" applyBorder="1" applyProtection="1"/>
    <xf numFmtId="0" fontId="29" fillId="17" borderId="0" xfId="0" applyFont="1" applyFill="1" applyBorder="1" applyAlignment="1" applyProtection="1">
      <alignment horizontal="center"/>
    </xf>
    <xf numFmtId="0" fontId="28" fillId="17" borderId="0" xfId="0" applyFont="1" applyFill="1" applyBorder="1" applyAlignment="1">
      <alignment horizontal="right"/>
    </xf>
    <xf numFmtId="0" fontId="28" fillId="17" borderId="0" xfId="0" applyFont="1" applyFill="1" applyBorder="1" applyAlignment="1" applyProtection="1">
      <alignment horizontal="center"/>
    </xf>
    <xf numFmtId="44" fontId="28" fillId="17" borderId="0" xfId="1" applyFont="1" applyFill="1" applyBorder="1" applyProtection="1"/>
    <xf numFmtId="0" fontId="27" fillId="6" borderId="1" xfId="0" applyFont="1" applyFill="1" applyBorder="1" applyAlignment="1" applyProtection="1">
      <alignment horizontal="left"/>
    </xf>
    <xf numFmtId="165" fontId="27" fillId="2" borderId="1" xfId="1" applyNumberFormat="1" applyFont="1" applyFill="1" applyBorder="1" applyProtection="1"/>
    <xf numFmtId="0" fontId="27" fillId="0" borderId="13" xfId="0" applyFont="1" applyFill="1" applyBorder="1" applyAlignment="1">
      <alignment horizontal="left"/>
    </xf>
    <xf numFmtId="0" fontId="27" fillId="0" borderId="0" xfId="0" applyFont="1" applyFill="1" applyBorder="1" applyAlignment="1">
      <alignment horizontal="right" vertical="top" wrapText="1"/>
    </xf>
    <xf numFmtId="0" fontId="10" fillId="2" borderId="11" xfId="3" applyFill="1" applyBorder="1" applyAlignment="1" applyProtection="1">
      <alignment horizontal="left"/>
      <protection locked="0"/>
    </xf>
    <xf numFmtId="0" fontId="12" fillId="2" borderId="3" xfId="3" applyFont="1" applyFill="1" applyBorder="1" applyAlignment="1" applyProtection="1">
      <alignment horizontal="center" vertical="center" wrapText="1"/>
      <protection locked="0"/>
    </xf>
    <xf numFmtId="0" fontId="12" fillId="2" borderId="4" xfId="3" applyFont="1" applyFill="1" applyBorder="1" applyAlignment="1" applyProtection="1">
      <alignment horizontal="center" vertical="center" wrapText="1"/>
      <protection locked="0"/>
    </xf>
    <xf numFmtId="0" fontId="12" fillId="2" borderId="5" xfId="3" applyFont="1" applyFill="1" applyBorder="1" applyAlignment="1" applyProtection="1">
      <alignment horizontal="center" vertical="center" wrapText="1"/>
      <protection locked="0"/>
    </xf>
    <xf numFmtId="0" fontId="4" fillId="3" borderId="3" xfId="0" applyFont="1" applyFill="1" applyBorder="1" applyAlignment="1">
      <alignment horizontal="center"/>
    </xf>
    <xf numFmtId="0" fontId="4" fillId="3" borderId="4" xfId="0" applyFont="1" applyFill="1" applyBorder="1" applyAlignment="1">
      <alignment horizontal="center"/>
    </xf>
    <xf numFmtId="0" fontId="4" fillId="3" borderId="5" xfId="0" applyFont="1" applyFill="1" applyBorder="1" applyAlignment="1">
      <alignment horizontal="center"/>
    </xf>
    <xf numFmtId="0" fontId="0" fillId="11" borderId="3" xfId="0" applyFont="1" applyFill="1" applyBorder="1" applyAlignment="1">
      <alignment horizontal="center"/>
    </xf>
    <xf numFmtId="0" fontId="0" fillId="11" borderId="4" xfId="0" applyFont="1" applyFill="1" applyBorder="1" applyAlignment="1">
      <alignment horizontal="center"/>
    </xf>
    <xf numFmtId="0" fontId="0" fillId="11" borderId="5" xfId="0" applyFont="1" applyFill="1" applyBorder="1" applyAlignment="1">
      <alignment horizontal="center"/>
    </xf>
    <xf numFmtId="0" fontId="5" fillId="2" borderId="4" xfId="0" applyFont="1" applyFill="1" applyBorder="1" applyAlignment="1">
      <alignment horizontal="center"/>
    </xf>
    <xf numFmtId="0" fontId="0" fillId="4" borderId="3" xfId="0" applyFont="1" applyFill="1" applyBorder="1" applyAlignment="1">
      <alignment horizontal="center"/>
    </xf>
    <xf numFmtId="0" fontId="0" fillId="4" borderId="4" xfId="0" applyFont="1" applyFill="1" applyBorder="1" applyAlignment="1">
      <alignment horizontal="center"/>
    </xf>
    <xf numFmtId="0" fontId="0" fillId="4" borderId="5" xfId="0" applyFont="1" applyFill="1" applyBorder="1" applyAlignment="1">
      <alignment horizontal="center"/>
    </xf>
    <xf numFmtId="0" fontId="32" fillId="3" borderId="3" xfId="0" applyFont="1" applyFill="1" applyBorder="1" applyAlignment="1" applyProtection="1">
      <alignment horizontal="right" vertical="center"/>
    </xf>
    <xf numFmtId="0" fontId="32" fillId="3" borderId="4" xfId="0" applyFont="1" applyFill="1" applyBorder="1" applyAlignment="1" applyProtection="1">
      <alignment horizontal="right" vertical="center"/>
    </xf>
    <xf numFmtId="0" fontId="31" fillId="3" borderId="4" xfId="3" applyFont="1" applyFill="1" applyBorder="1" applyAlignment="1" applyProtection="1">
      <alignment horizontal="left" vertical="center"/>
      <protection locked="0"/>
    </xf>
    <xf numFmtId="0" fontId="31" fillId="3" borderId="5" xfId="3" applyFont="1" applyFill="1" applyBorder="1" applyAlignment="1" applyProtection="1">
      <alignment horizontal="left" vertical="center"/>
      <protection locked="0"/>
    </xf>
    <xf numFmtId="0" fontId="6" fillId="2" borderId="2" xfId="0" applyFont="1" applyFill="1" applyBorder="1" applyAlignment="1" applyProtection="1">
      <alignment horizontal="center" vertical="center"/>
    </xf>
    <xf numFmtId="0" fontId="5" fillId="2" borderId="23" xfId="0" applyFont="1" applyFill="1" applyBorder="1" applyAlignment="1" applyProtection="1">
      <alignment horizontal="center" vertical="center" wrapText="1"/>
    </xf>
    <xf numFmtId="0" fontId="5" fillId="2" borderId="24" xfId="0" applyFont="1" applyFill="1" applyBorder="1" applyAlignment="1" applyProtection="1">
      <alignment horizontal="center" vertical="center" wrapText="1"/>
    </xf>
    <xf numFmtId="0" fontId="5" fillId="2" borderId="4" xfId="0" applyFont="1" applyFill="1" applyBorder="1" applyAlignment="1" applyProtection="1">
      <alignment horizontal="center" wrapText="1"/>
    </xf>
    <xf numFmtId="165" fontId="2" fillId="3" borderId="3" xfId="1" applyNumberFormat="1" applyFont="1" applyFill="1" applyBorder="1" applyAlignment="1" applyProtection="1">
      <alignment horizontal="center"/>
    </xf>
    <xf numFmtId="165" fontId="2" fillId="3" borderId="5" xfId="1" applyNumberFormat="1" applyFont="1" applyFill="1" applyBorder="1" applyAlignment="1" applyProtection="1">
      <alignment horizontal="center"/>
    </xf>
    <xf numFmtId="0" fontId="0" fillId="0" borderId="12" xfId="0" applyFont="1" applyBorder="1" applyAlignment="1" applyProtection="1">
      <alignment horizontal="left" vertical="top" wrapText="1"/>
    </xf>
    <xf numFmtId="0" fontId="0" fillId="0" borderId="0" xfId="0" applyFont="1" applyAlignment="1" applyProtection="1">
      <alignment horizontal="left" vertical="top" wrapText="1"/>
    </xf>
    <xf numFmtId="0" fontId="0" fillId="2" borderId="3" xfId="0" applyFont="1" applyFill="1" applyBorder="1" applyAlignment="1">
      <alignment horizontal="center" vertical="top"/>
    </xf>
    <xf numFmtId="0" fontId="0" fillId="2" borderId="4" xfId="0" applyFont="1" applyFill="1" applyBorder="1" applyAlignment="1">
      <alignment horizontal="center" vertical="top"/>
    </xf>
    <xf numFmtId="0" fontId="0" fillId="2" borderId="5" xfId="0" applyFont="1" applyFill="1" applyBorder="1" applyAlignment="1">
      <alignment horizontal="center" vertical="top"/>
    </xf>
    <xf numFmtId="0" fontId="4" fillId="0" borderId="7" xfId="0" applyFont="1" applyBorder="1" applyAlignment="1">
      <alignment horizontal="center" vertical="top"/>
    </xf>
    <xf numFmtId="0" fontId="0" fillId="0" borderId="0" xfId="0" applyFont="1" applyAlignment="1">
      <alignment horizontal="left" vertical="top" wrapText="1" readingOrder="1"/>
    </xf>
    <xf numFmtId="0" fontId="27" fillId="0" borderId="0" xfId="0" applyFont="1" applyAlignment="1">
      <alignment horizontal="left" vertical="top" wrapText="1"/>
    </xf>
    <xf numFmtId="0" fontId="0" fillId="0" borderId="0" xfId="0" applyFont="1" applyAlignment="1">
      <alignment horizontal="left" vertical="top" wrapText="1"/>
    </xf>
    <xf numFmtId="0" fontId="3" fillId="3" borderId="0" xfId="0" applyFont="1" applyFill="1" applyAlignment="1">
      <alignment horizontal="left" vertical="top"/>
    </xf>
    <xf numFmtId="0" fontId="27" fillId="0" borderId="0" xfId="0" applyFont="1" applyBorder="1" applyAlignment="1">
      <alignment horizontal="left" vertical="top" wrapText="1" readingOrder="1"/>
    </xf>
    <xf numFmtId="0" fontId="27" fillId="0" borderId="0" xfId="0" applyFont="1" applyAlignment="1">
      <alignment horizontal="left" vertical="top" wrapText="1" readingOrder="1"/>
    </xf>
    <xf numFmtId="0" fontId="0" fillId="0" borderId="0" xfId="0" applyFont="1" applyBorder="1" applyAlignment="1">
      <alignment horizontal="left" vertical="top" wrapText="1"/>
    </xf>
    <xf numFmtId="0" fontId="0" fillId="2" borderId="0" xfId="0" applyFont="1" applyFill="1" applyAlignment="1">
      <alignment horizontal="left" vertical="top" wrapText="1"/>
    </xf>
    <xf numFmtId="0" fontId="0" fillId="0" borderId="0" xfId="0" applyFont="1" applyAlignment="1">
      <alignment horizontal="left" vertical="top"/>
    </xf>
    <xf numFmtId="0" fontId="3" fillId="3" borderId="0" xfId="0" applyFont="1" applyFill="1" applyAlignment="1">
      <alignment horizontal="left" vertical="top" wrapText="1"/>
    </xf>
    <xf numFmtId="0" fontId="0" fillId="0" borderId="0" xfId="0" applyFont="1" applyAlignment="1">
      <alignment vertical="top"/>
    </xf>
    <xf numFmtId="0" fontId="0" fillId="0" borderId="0" xfId="0" applyFont="1" applyAlignment="1">
      <alignment vertical="top" wrapText="1"/>
    </xf>
    <xf numFmtId="0" fontId="0" fillId="0" borderId="0" xfId="0" applyFont="1" applyFill="1" applyAlignment="1">
      <alignment horizontal="left" vertical="top" wrapText="1" readingOrder="1"/>
    </xf>
    <xf numFmtId="0" fontId="0" fillId="0" borderId="0" xfId="0" applyAlignment="1">
      <alignment horizontal="left" vertical="top" wrapText="1" readingOrder="1"/>
    </xf>
    <xf numFmtId="0" fontId="0" fillId="0" borderId="0" xfId="0" applyFont="1" applyBorder="1" applyAlignment="1">
      <alignment horizontal="left" vertical="top" wrapText="1" readingOrder="1"/>
    </xf>
    <xf numFmtId="0" fontId="0" fillId="0" borderId="0" xfId="0" applyFont="1" applyFill="1" applyBorder="1" applyAlignment="1">
      <alignment horizontal="left" vertical="top" wrapText="1"/>
    </xf>
  </cellXfs>
  <cellStyles count="4">
    <cellStyle name="Currency" xfId="1" builtinId="4"/>
    <cellStyle name="Hyperlink" xfId="3" builtinId="8"/>
    <cellStyle name="Normal" xfId="0" builtinId="0"/>
    <cellStyle name="Percent" xfId="2" builtinId="5"/>
  </cellStyles>
  <dxfs count="1">
    <dxf>
      <font>
        <color rgb="FF9C0006"/>
      </font>
      <fill>
        <patternFill>
          <bgColor rgb="FFFFC7CE"/>
        </patternFill>
      </fill>
    </dxf>
  </dxfs>
  <tableStyles count="0" defaultTableStyle="TableStyleMedium2" defaultPivotStyle="PivotStyleLight16"/>
  <colors>
    <mruColors>
      <color rgb="FFFF66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healthteamworks.org/content/terms-and-conditions-tools-and-materials"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4.png"/><Relationship Id="rId7" Type="http://schemas.openxmlformats.org/officeDocument/2006/relationships/hyperlink" Target="https://www.healthteamworks.org/content/terms-and-conditions-tools-and-materials" TargetMode="Externa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hyperlink" Target="https://www.healthteamworks.org/content/terms-and-conditions-tools-and-materials" TargetMode="External"/><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2</xdr:col>
      <xdr:colOff>1293091</xdr:colOff>
      <xdr:row>103</xdr:row>
      <xdr:rowOff>23091</xdr:rowOff>
    </xdr:from>
    <xdr:to>
      <xdr:col>2</xdr:col>
      <xdr:colOff>3679536</xdr:colOff>
      <xdr:row>103</xdr:row>
      <xdr:rowOff>344520</xdr:rowOff>
    </xdr:to>
    <xdr:sp macro="" textlink="">
      <xdr:nvSpPr>
        <xdr:cNvPr id="5" name="Footer Placeholder 4">
          <a:extLst>
            <a:ext uri="{FF2B5EF4-FFF2-40B4-BE49-F238E27FC236}">
              <a16:creationId xmlns:a16="http://schemas.microsoft.com/office/drawing/2014/main" id="{32F779B5-ECFD-C04F-93FE-8D3B0DB3F050}"/>
            </a:ext>
          </a:extLst>
        </xdr:cNvPr>
        <xdr:cNvSpPr txBox="1">
          <a:spLocks/>
        </xdr:cNvSpPr>
      </xdr:nvSpPr>
      <xdr:spPr>
        <a:xfrm>
          <a:off x="4872182" y="21971000"/>
          <a:ext cx="2386445" cy="321429"/>
        </a:xfrm>
        <a:prstGeom prst="rect">
          <a:avLst/>
        </a:prstGeom>
      </xdr:spPr>
      <xdr:txBody>
        <a:bodyPr vert="horz" wrap="square" lIns="84716" tIns="42358" rIns="84716" bIns="42358" rtlCol="0" anchor="ctr">
          <a:noAutofit/>
        </a:bodyPr>
        <a:lstStyle>
          <a:defPPr>
            <a:defRPr lang="en-US"/>
          </a:defPPr>
          <a:lvl1pPr marL="0" algn="l" defTabSz="987552" rtl="0" eaLnBrk="1" latinLnBrk="0" hangingPunct="1">
            <a:defRPr sz="1944" kern="1200">
              <a:solidFill>
                <a:schemeClr val="tx1"/>
              </a:solidFill>
              <a:latin typeface="+mn-lt"/>
              <a:ea typeface="+mn-ea"/>
              <a:cs typeface="+mn-cs"/>
            </a:defRPr>
          </a:lvl1pPr>
          <a:lvl2pPr marL="493776" algn="l" defTabSz="987552" rtl="0" eaLnBrk="1" latinLnBrk="0" hangingPunct="1">
            <a:defRPr sz="1944" kern="1200">
              <a:solidFill>
                <a:schemeClr val="tx1"/>
              </a:solidFill>
              <a:latin typeface="+mn-lt"/>
              <a:ea typeface="+mn-ea"/>
              <a:cs typeface="+mn-cs"/>
            </a:defRPr>
          </a:lvl2pPr>
          <a:lvl3pPr marL="987552" algn="l" defTabSz="987552" rtl="0" eaLnBrk="1" latinLnBrk="0" hangingPunct="1">
            <a:defRPr sz="1944" kern="1200">
              <a:solidFill>
                <a:schemeClr val="tx1"/>
              </a:solidFill>
              <a:latin typeface="+mn-lt"/>
              <a:ea typeface="+mn-ea"/>
              <a:cs typeface="+mn-cs"/>
            </a:defRPr>
          </a:lvl3pPr>
          <a:lvl4pPr marL="1481328" algn="l" defTabSz="987552" rtl="0" eaLnBrk="1" latinLnBrk="0" hangingPunct="1">
            <a:defRPr sz="1944" kern="1200">
              <a:solidFill>
                <a:schemeClr val="tx1"/>
              </a:solidFill>
              <a:latin typeface="+mn-lt"/>
              <a:ea typeface="+mn-ea"/>
              <a:cs typeface="+mn-cs"/>
            </a:defRPr>
          </a:lvl4pPr>
          <a:lvl5pPr marL="1975104" algn="l" defTabSz="987552" rtl="0" eaLnBrk="1" latinLnBrk="0" hangingPunct="1">
            <a:defRPr sz="1944" kern="1200">
              <a:solidFill>
                <a:schemeClr val="tx1"/>
              </a:solidFill>
              <a:latin typeface="+mn-lt"/>
              <a:ea typeface="+mn-ea"/>
              <a:cs typeface="+mn-cs"/>
            </a:defRPr>
          </a:lvl5pPr>
          <a:lvl6pPr marL="2468880" algn="l" defTabSz="987552" rtl="0" eaLnBrk="1" latinLnBrk="0" hangingPunct="1">
            <a:defRPr sz="1944" kern="1200">
              <a:solidFill>
                <a:schemeClr val="tx1"/>
              </a:solidFill>
              <a:latin typeface="+mn-lt"/>
              <a:ea typeface="+mn-ea"/>
              <a:cs typeface="+mn-cs"/>
            </a:defRPr>
          </a:lvl6pPr>
          <a:lvl7pPr marL="2962656" algn="l" defTabSz="987552" rtl="0" eaLnBrk="1" latinLnBrk="0" hangingPunct="1">
            <a:defRPr sz="1944" kern="1200">
              <a:solidFill>
                <a:schemeClr val="tx1"/>
              </a:solidFill>
              <a:latin typeface="+mn-lt"/>
              <a:ea typeface="+mn-ea"/>
              <a:cs typeface="+mn-cs"/>
            </a:defRPr>
          </a:lvl7pPr>
          <a:lvl8pPr marL="3456432" algn="l" defTabSz="987552" rtl="0" eaLnBrk="1" latinLnBrk="0" hangingPunct="1">
            <a:defRPr sz="1944" kern="1200">
              <a:solidFill>
                <a:schemeClr val="tx1"/>
              </a:solidFill>
              <a:latin typeface="+mn-lt"/>
              <a:ea typeface="+mn-ea"/>
              <a:cs typeface="+mn-cs"/>
            </a:defRPr>
          </a:lvl8pPr>
          <a:lvl9pPr marL="3950208" algn="l" defTabSz="987552" rtl="0" eaLnBrk="1" latinLnBrk="0" hangingPunct="1">
            <a:defRPr sz="1944" kern="1200">
              <a:solidFill>
                <a:schemeClr val="tx1"/>
              </a:solidFill>
              <a:latin typeface="+mn-lt"/>
              <a:ea typeface="+mn-ea"/>
              <a:cs typeface="+mn-cs"/>
            </a:defRPr>
          </a:lvl9pPr>
        </a:lstStyle>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©1996-2021</a:t>
          </a:r>
        </a:p>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www.healthteamworks.org</a:t>
          </a:r>
        </a:p>
      </xdr:txBody>
    </xdr:sp>
    <xdr:clientData/>
  </xdr:twoCellAnchor>
  <xdr:twoCellAnchor>
    <xdr:from>
      <xdr:col>2</xdr:col>
      <xdr:colOff>1697182</xdr:colOff>
      <xdr:row>0</xdr:row>
      <xdr:rowOff>80818</xdr:rowOff>
    </xdr:from>
    <xdr:to>
      <xdr:col>5</xdr:col>
      <xdr:colOff>450632</xdr:colOff>
      <xdr:row>0</xdr:row>
      <xdr:rowOff>498231</xdr:rowOff>
    </xdr:to>
    <xdr:sp macro="" textlink="">
      <xdr:nvSpPr>
        <xdr:cNvPr id="6" name="Text Box 12">
          <a:hlinkClick xmlns:r="http://schemas.openxmlformats.org/officeDocument/2006/relationships" r:id="rId1"/>
          <a:extLst>
            <a:ext uri="{FF2B5EF4-FFF2-40B4-BE49-F238E27FC236}">
              <a16:creationId xmlns:a16="http://schemas.microsoft.com/office/drawing/2014/main" id="{10F0C0F5-FC13-E948-9EA4-247CB422C567}"/>
            </a:ext>
          </a:extLst>
        </xdr:cNvPr>
        <xdr:cNvSpPr txBox="1">
          <a:spLocks noChangeArrowheads="1"/>
        </xdr:cNvSpPr>
      </xdr:nvSpPr>
      <xdr:spPr bwMode="auto">
        <a:xfrm>
          <a:off x="5276273" y="80818"/>
          <a:ext cx="5980904" cy="417413"/>
        </a:xfrm>
        <a:prstGeom prst="rect">
          <a:avLst/>
        </a:prstGeom>
        <a:solidFill>
          <a:schemeClr val="bg1">
            <a:lumMod val="85000"/>
          </a:schemeClr>
        </a:solidFill>
        <a:ln w="9525">
          <a:no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pitchFamily="2" charset="0"/>
              <a:cs typeface="Calibri" pitchFamily="2" charset="0"/>
            </a:rPr>
            <a:t>By using this resource, the recipient is agreeing to the HealthTeamWorks Terms of Use as defined here:  </a:t>
          </a:r>
          <a:r>
            <a:rPr lang="en-US" sz="1100" b="0" i="0" u="sng" strike="noStrike" baseline="0">
              <a:solidFill>
                <a:schemeClr val="accent1"/>
              </a:solidFill>
              <a:latin typeface="Calibri" pitchFamily="2" charset="0"/>
              <a:cs typeface="Calibri" pitchFamily="2" charset="0"/>
            </a:rPr>
            <a:t>https://www.healthteamworks.org/content/terms-and-conditions-tools-and-materials</a:t>
          </a:r>
        </a:p>
      </xdr:txBody>
    </xdr:sp>
    <xdr:clientData/>
  </xdr:twoCellAnchor>
  <xdr:twoCellAnchor editAs="oneCell">
    <xdr:from>
      <xdr:col>1</xdr:col>
      <xdr:colOff>335303</xdr:colOff>
      <xdr:row>0</xdr:row>
      <xdr:rowOff>69273</xdr:rowOff>
    </xdr:from>
    <xdr:to>
      <xdr:col>1</xdr:col>
      <xdr:colOff>2430273</xdr:colOff>
      <xdr:row>0</xdr:row>
      <xdr:rowOff>515736</xdr:rowOff>
    </xdr:to>
    <xdr:pic>
      <xdr:nvPicPr>
        <xdr:cNvPr id="7" name="Picture 6">
          <a:extLst>
            <a:ext uri="{FF2B5EF4-FFF2-40B4-BE49-F238E27FC236}">
              <a16:creationId xmlns:a16="http://schemas.microsoft.com/office/drawing/2014/main" id="{BDE6ABD7-57E2-1C46-A849-01E57515DC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93212" y="69273"/>
          <a:ext cx="2094970" cy="4502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297225</xdr:colOff>
      <xdr:row>59</xdr:row>
      <xdr:rowOff>139701</xdr:rowOff>
    </xdr:from>
    <xdr:to>
      <xdr:col>6</xdr:col>
      <xdr:colOff>237958</xdr:colOff>
      <xdr:row>61</xdr:row>
      <xdr:rowOff>101601</xdr:rowOff>
    </xdr:to>
    <xdr:sp macro="" textlink="">
      <xdr:nvSpPr>
        <xdr:cNvPr id="3" name="Footer Placeholder 4">
          <a:extLst>
            <a:ext uri="{FF2B5EF4-FFF2-40B4-BE49-F238E27FC236}">
              <a16:creationId xmlns:a16="http://schemas.microsoft.com/office/drawing/2014/main" id="{00000000-0008-0000-0100-000003000000}"/>
            </a:ext>
          </a:extLst>
        </xdr:cNvPr>
        <xdr:cNvSpPr txBox="1">
          <a:spLocks/>
        </xdr:cNvSpPr>
      </xdr:nvSpPr>
      <xdr:spPr>
        <a:xfrm>
          <a:off x="8603025" y="13017501"/>
          <a:ext cx="2849033" cy="368300"/>
        </a:xfrm>
        <a:prstGeom prst="rect">
          <a:avLst/>
        </a:prstGeom>
      </xdr:spPr>
      <xdr:txBody>
        <a:bodyPr vert="horz" wrap="square" lIns="84716" tIns="42358" rIns="84716" bIns="42358" rtlCol="0" anchor="ctr">
          <a:noAutofit/>
        </a:bodyPr>
        <a:lstStyle>
          <a:defPPr>
            <a:defRPr lang="en-US"/>
          </a:defPPr>
          <a:lvl1pPr marL="0" algn="l" defTabSz="987552" rtl="0" eaLnBrk="1" latinLnBrk="0" hangingPunct="1">
            <a:defRPr sz="1944" kern="1200">
              <a:solidFill>
                <a:schemeClr val="tx1"/>
              </a:solidFill>
              <a:latin typeface="+mn-lt"/>
              <a:ea typeface="+mn-ea"/>
              <a:cs typeface="+mn-cs"/>
            </a:defRPr>
          </a:lvl1pPr>
          <a:lvl2pPr marL="493776" algn="l" defTabSz="987552" rtl="0" eaLnBrk="1" latinLnBrk="0" hangingPunct="1">
            <a:defRPr sz="1944" kern="1200">
              <a:solidFill>
                <a:schemeClr val="tx1"/>
              </a:solidFill>
              <a:latin typeface="+mn-lt"/>
              <a:ea typeface="+mn-ea"/>
              <a:cs typeface="+mn-cs"/>
            </a:defRPr>
          </a:lvl2pPr>
          <a:lvl3pPr marL="987552" algn="l" defTabSz="987552" rtl="0" eaLnBrk="1" latinLnBrk="0" hangingPunct="1">
            <a:defRPr sz="1944" kern="1200">
              <a:solidFill>
                <a:schemeClr val="tx1"/>
              </a:solidFill>
              <a:latin typeface="+mn-lt"/>
              <a:ea typeface="+mn-ea"/>
              <a:cs typeface="+mn-cs"/>
            </a:defRPr>
          </a:lvl3pPr>
          <a:lvl4pPr marL="1481328" algn="l" defTabSz="987552" rtl="0" eaLnBrk="1" latinLnBrk="0" hangingPunct="1">
            <a:defRPr sz="1944" kern="1200">
              <a:solidFill>
                <a:schemeClr val="tx1"/>
              </a:solidFill>
              <a:latin typeface="+mn-lt"/>
              <a:ea typeface="+mn-ea"/>
              <a:cs typeface="+mn-cs"/>
            </a:defRPr>
          </a:lvl4pPr>
          <a:lvl5pPr marL="1975104" algn="l" defTabSz="987552" rtl="0" eaLnBrk="1" latinLnBrk="0" hangingPunct="1">
            <a:defRPr sz="1944" kern="1200">
              <a:solidFill>
                <a:schemeClr val="tx1"/>
              </a:solidFill>
              <a:latin typeface="+mn-lt"/>
              <a:ea typeface="+mn-ea"/>
              <a:cs typeface="+mn-cs"/>
            </a:defRPr>
          </a:lvl5pPr>
          <a:lvl6pPr marL="2468880" algn="l" defTabSz="987552" rtl="0" eaLnBrk="1" latinLnBrk="0" hangingPunct="1">
            <a:defRPr sz="1944" kern="1200">
              <a:solidFill>
                <a:schemeClr val="tx1"/>
              </a:solidFill>
              <a:latin typeface="+mn-lt"/>
              <a:ea typeface="+mn-ea"/>
              <a:cs typeface="+mn-cs"/>
            </a:defRPr>
          </a:lvl6pPr>
          <a:lvl7pPr marL="2962656" algn="l" defTabSz="987552" rtl="0" eaLnBrk="1" latinLnBrk="0" hangingPunct="1">
            <a:defRPr sz="1944" kern="1200">
              <a:solidFill>
                <a:schemeClr val="tx1"/>
              </a:solidFill>
              <a:latin typeface="+mn-lt"/>
              <a:ea typeface="+mn-ea"/>
              <a:cs typeface="+mn-cs"/>
            </a:defRPr>
          </a:lvl7pPr>
          <a:lvl8pPr marL="3456432" algn="l" defTabSz="987552" rtl="0" eaLnBrk="1" latinLnBrk="0" hangingPunct="1">
            <a:defRPr sz="1944" kern="1200">
              <a:solidFill>
                <a:schemeClr val="tx1"/>
              </a:solidFill>
              <a:latin typeface="+mn-lt"/>
              <a:ea typeface="+mn-ea"/>
              <a:cs typeface="+mn-cs"/>
            </a:defRPr>
          </a:lvl8pPr>
          <a:lvl9pPr marL="3950208" algn="l" defTabSz="987552" rtl="0" eaLnBrk="1" latinLnBrk="0" hangingPunct="1">
            <a:defRPr sz="1944" kern="1200">
              <a:solidFill>
                <a:schemeClr val="tx1"/>
              </a:solidFill>
              <a:latin typeface="+mn-lt"/>
              <a:ea typeface="+mn-ea"/>
              <a:cs typeface="+mn-cs"/>
            </a:defRPr>
          </a:lvl9pPr>
        </a:lstStyle>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©1996-2021 </a:t>
          </a:r>
        </a:p>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www.healthteamworks.org</a:t>
          </a:r>
        </a:p>
      </xdr:txBody>
    </xdr:sp>
    <xdr:clientData/>
  </xdr:twoCellAnchor>
  <xdr:twoCellAnchor editAs="oneCell">
    <xdr:from>
      <xdr:col>3</xdr:col>
      <xdr:colOff>685800</xdr:colOff>
      <xdr:row>161</xdr:row>
      <xdr:rowOff>177799</xdr:rowOff>
    </xdr:from>
    <xdr:to>
      <xdr:col>6</xdr:col>
      <xdr:colOff>67310</xdr:colOff>
      <xdr:row>164</xdr:row>
      <xdr:rowOff>29633</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6718300" y="34848799"/>
          <a:ext cx="4559300" cy="457625"/>
        </a:xfrm>
        <a:prstGeom prst="rect">
          <a:avLst/>
        </a:prstGeom>
      </xdr:spPr>
    </xdr:pic>
    <xdr:clientData/>
  </xdr:twoCellAnchor>
  <xdr:twoCellAnchor editAs="oneCell">
    <xdr:from>
      <xdr:col>3</xdr:col>
      <xdr:colOff>685800</xdr:colOff>
      <xdr:row>164</xdr:row>
      <xdr:rowOff>38099</xdr:rowOff>
    </xdr:from>
    <xdr:to>
      <xdr:col>6</xdr:col>
      <xdr:colOff>46990</xdr:colOff>
      <xdr:row>166</xdr:row>
      <xdr:rowOff>78093</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6718300" y="35318699"/>
          <a:ext cx="4546600" cy="446393"/>
        </a:xfrm>
        <a:prstGeom prst="rect">
          <a:avLst/>
        </a:prstGeom>
      </xdr:spPr>
    </xdr:pic>
    <xdr:clientData/>
  </xdr:twoCellAnchor>
  <xdr:twoCellAnchor editAs="oneCell">
    <xdr:from>
      <xdr:col>2</xdr:col>
      <xdr:colOff>918633</xdr:colOff>
      <xdr:row>166</xdr:row>
      <xdr:rowOff>63500</xdr:rowOff>
    </xdr:from>
    <xdr:to>
      <xdr:col>6</xdr:col>
      <xdr:colOff>67310</xdr:colOff>
      <xdr:row>168</xdr:row>
      <xdr:rowOff>114299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706533" y="35750500"/>
          <a:ext cx="5571067" cy="457200"/>
        </a:xfrm>
        <a:prstGeom prst="rect">
          <a:avLst/>
        </a:prstGeom>
      </xdr:spPr>
    </xdr:pic>
    <xdr:clientData/>
  </xdr:twoCellAnchor>
  <xdr:twoCellAnchor editAs="oneCell">
    <xdr:from>
      <xdr:col>3</xdr:col>
      <xdr:colOff>711200</xdr:colOff>
      <xdr:row>170</xdr:row>
      <xdr:rowOff>177800</xdr:rowOff>
    </xdr:from>
    <xdr:to>
      <xdr:col>6</xdr:col>
      <xdr:colOff>85090</xdr:colOff>
      <xdr:row>173</xdr:row>
      <xdr:rowOff>37541</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743700" y="36677600"/>
          <a:ext cx="4559300" cy="469340"/>
        </a:xfrm>
        <a:prstGeom prst="rect">
          <a:avLst/>
        </a:prstGeom>
      </xdr:spPr>
    </xdr:pic>
    <xdr:clientData/>
  </xdr:twoCellAnchor>
  <xdr:twoCellAnchor editAs="oneCell">
    <xdr:from>
      <xdr:col>3</xdr:col>
      <xdr:colOff>711200</xdr:colOff>
      <xdr:row>168</xdr:row>
      <xdr:rowOff>88900</xdr:rowOff>
    </xdr:from>
    <xdr:to>
      <xdr:col>6</xdr:col>
      <xdr:colOff>38100</xdr:colOff>
      <xdr:row>171</xdr:row>
      <xdr:rowOff>113</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6743700" y="36182300"/>
          <a:ext cx="4508500" cy="515732"/>
        </a:xfrm>
        <a:prstGeom prst="rect">
          <a:avLst/>
        </a:prstGeom>
      </xdr:spPr>
    </xdr:pic>
    <xdr:clientData/>
  </xdr:twoCellAnchor>
  <xdr:twoCellAnchor editAs="oneCell">
    <xdr:from>
      <xdr:col>2</xdr:col>
      <xdr:colOff>1171575</xdr:colOff>
      <xdr:row>151</xdr:row>
      <xdr:rowOff>12700</xdr:rowOff>
    </xdr:from>
    <xdr:to>
      <xdr:col>6</xdr:col>
      <xdr:colOff>84138</xdr:colOff>
      <xdr:row>162</xdr:row>
      <xdr:rowOff>8891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5959475" y="32639000"/>
          <a:ext cx="5338763" cy="2247900"/>
        </a:xfrm>
        <a:prstGeom prst="rect">
          <a:avLst/>
        </a:prstGeom>
      </xdr:spPr>
    </xdr:pic>
    <xdr:clientData/>
  </xdr:twoCellAnchor>
  <xdr:twoCellAnchor>
    <xdr:from>
      <xdr:col>3</xdr:col>
      <xdr:colOff>38100</xdr:colOff>
      <xdr:row>1</xdr:row>
      <xdr:rowOff>38100</xdr:rowOff>
    </xdr:from>
    <xdr:to>
      <xdr:col>6</xdr:col>
      <xdr:colOff>667686</xdr:colOff>
      <xdr:row>1</xdr:row>
      <xdr:rowOff>455513</xdr:rowOff>
    </xdr:to>
    <xdr:sp macro="" textlink="">
      <xdr:nvSpPr>
        <xdr:cNvPr id="12" name="Text Box 12">
          <a:hlinkClick xmlns:r="http://schemas.openxmlformats.org/officeDocument/2006/relationships" r:id="rId7"/>
          <a:extLst>
            <a:ext uri="{FF2B5EF4-FFF2-40B4-BE49-F238E27FC236}">
              <a16:creationId xmlns:a16="http://schemas.microsoft.com/office/drawing/2014/main" id="{EEBEB0F0-AC9F-3948-B5DE-DCCD4EAC709F}"/>
            </a:ext>
          </a:extLst>
        </xdr:cNvPr>
        <xdr:cNvSpPr txBox="1">
          <a:spLocks noChangeArrowheads="1"/>
        </xdr:cNvSpPr>
      </xdr:nvSpPr>
      <xdr:spPr bwMode="auto">
        <a:xfrm>
          <a:off x="6070600" y="393700"/>
          <a:ext cx="5811186" cy="417413"/>
        </a:xfrm>
        <a:prstGeom prst="rect">
          <a:avLst/>
        </a:prstGeom>
        <a:solidFill>
          <a:schemeClr val="bg1">
            <a:lumMod val="85000"/>
          </a:schemeClr>
        </a:solidFill>
        <a:ln w="9525">
          <a:noFill/>
          <a:miter lim="800000"/>
          <a:headEnd/>
          <a:tailEnd/>
        </a:ln>
      </xdr:spPr>
      <xdr:txBody>
        <a:bodyPr vertOverflow="clip" wrap="square" lIns="27432" tIns="22860" rIns="0" bIns="0" anchor="ctr" upright="1"/>
        <a:lstStyle/>
        <a:p>
          <a:pPr algn="r" rtl="0">
            <a:defRPr sz="1000"/>
          </a:pPr>
          <a:r>
            <a:rPr lang="en-US" sz="1050" b="0" i="0" u="none" strike="noStrike" baseline="0">
              <a:solidFill>
                <a:srgbClr val="000000"/>
              </a:solidFill>
              <a:latin typeface="Calibri" pitchFamily="2" charset="0"/>
              <a:cs typeface="Calibri" pitchFamily="2" charset="0"/>
            </a:rPr>
            <a:t>By using this resource, the recipient is agreeing to the HealthTeamWorks Terms of Use as defined here:  </a:t>
          </a:r>
          <a:r>
            <a:rPr lang="en-US" sz="1050" b="0" i="0" u="sng" strike="noStrike" baseline="0">
              <a:solidFill>
                <a:schemeClr val="accent1"/>
              </a:solidFill>
              <a:latin typeface="Calibri" pitchFamily="2" charset="0"/>
              <a:cs typeface="Calibri" pitchFamily="2" charset="0"/>
            </a:rPr>
            <a:t>https://www.healthteamworks.org/content/terms-and-conditions-tools-and-materials</a:t>
          </a:r>
        </a:p>
      </xdr:txBody>
    </xdr:sp>
    <xdr:clientData/>
  </xdr:twoCellAnchor>
  <xdr:twoCellAnchor editAs="oneCell">
    <xdr:from>
      <xdr:col>1</xdr:col>
      <xdr:colOff>1333500</xdr:colOff>
      <xdr:row>1</xdr:row>
      <xdr:rowOff>50800</xdr:rowOff>
    </xdr:from>
    <xdr:to>
      <xdr:col>1</xdr:col>
      <xdr:colOff>3342521</xdr:colOff>
      <xdr:row>1</xdr:row>
      <xdr:rowOff>486410</xdr:rowOff>
    </xdr:to>
    <xdr:pic>
      <xdr:nvPicPr>
        <xdr:cNvPr id="13" name="Picture 12">
          <a:extLst>
            <a:ext uri="{FF2B5EF4-FFF2-40B4-BE49-F238E27FC236}">
              <a16:creationId xmlns:a16="http://schemas.microsoft.com/office/drawing/2014/main" id="{E4E0B1BB-E9C1-F247-8075-073A600F68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587500" y="406400"/>
          <a:ext cx="2009021" cy="431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730250</xdr:colOff>
      <xdr:row>86</xdr:row>
      <xdr:rowOff>0</xdr:rowOff>
    </xdr:from>
    <xdr:to>
      <xdr:col>4</xdr:col>
      <xdr:colOff>849937</xdr:colOff>
      <xdr:row>88</xdr:row>
      <xdr:rowOff>21166</xdr:rowOff>
    </xdr:to>
    <xdr:sp macro="" textlink="">
      <xdr:nvSpPr>
        <xdr:cNvPr id="3" name="Footer Placeholder 4">
          <a:extLst>
            <a:ext uri="{FF2B5EF4-FFF2-40B4-BE49-F238E27FC236}">
              <a16:creationId xmlns:a16="http://schemas.microsoft.com/office/drawing/2014/main" id="{00000000-0008-0000-0200-000003000000}"/>
            </a:ext>
          </a:extLst>
        </xdr:cNvPr>
        <xdr:cNvSpPr txBox="1">
          <a:spLocks/>
        </xdr:cNvSpPr>
      </xdr:nvSpPr>
      <xdr:spPr>
        <a:xfrm>
          <a:off x="5651500" y="25082500"/>
          <a:ext cx="2850187" cy="423333"/>
        </a:xfrm>
        <a:prstGeom prst="rect">
          <a:avLst/>
        </a:prstGeom>
      </xdr:spPr>
      <xdr:txBody>
        <a:bodyPr vert="horz" wrap="square" lIns="84716" tIns="42358" rIns="84716" bIns="42358" rtlCol="0" anchor="ctr">
          <a:noAutofit/>
        </a:bodyPr>
        <a:lstStyle>
          <a:defPPr>
            <a:defRPr lang="en-US"/>
          </a:defPPr>
          <a:lvl1pPr marL="0" algn="l" defTabSz="987552" rtl="0" eaLnBrk="1" latinLnBrk="0" hangingPunct="1">
            <a:defRPr sz="1944" kern="1200">
              <a:solidFill>
                <a:schemeClr val="tx1"/>
              </a:solidFill>
              <a:latin typeface="+mn-lt"/>
              <a:ea typeface="+mn-ea"/>
              <a:cs typeface="+mn-cs"/>
            </a:defRPr>
          </a:lvl1pPr>
          <a:lvl2pPr marL="493776" algn="l" defTabSz="987552" rtl="0" eaLnBrk="1" latinLnBrk="0" hangingPunct="1">
            <a:defRPr sz="1944" kern="1200">
              <a:solidFill>
                <a:schemeClr val="tx1"/>
              </a:solidFill>
              <a:latin typeface="+mn-lt"/>
              <a:ea typeface="+mn-ea"/>
              <a:cs typeface="+mn-cs"/>
            </a:defRPr>
          </a:lvl2pPr>
          <a:lvl3pPr marL="987552" algn="l" defTabSz="987552" rtl="0" eaLnBrk="1" latinLnBrk="0" hangingPunct="1">
            <a:defRPr sz="1944" kern="1200">
              <a:solidFill>
                <a:schemeClr val="tx1"/>
              </a:solidFill>
              <a:latin typeface="+mn-lt"/>
              <a:ea typeface="+mn-ea"/>
              <a:cs typeface="+mn-cs"/>
            </a:defRPr>
          </a:lvl3pPr>
          <a:lvl4pPr marL="1481328" algn="l" defTabSz="987552" rtl="0" eaLnBrk="1" latinLnBrk="0" hangingPunct="1">
            <a:defRPr sz="1944" kern="1200">
              <a:solidFill>
                <a:schemeClr val="tx1"/>
              </a:solidFill>
              <a:latin typeface="+mn-lt"/>
              <a:ea typeface="+mn-ea"/>
              <a:cs typeface="+mn-cs"/>
            </a:defRPr>
          </a:lvl4pPr>
          <a:lvl5pPr marL="1975104" algn="l" defTabSz="987552" rtl="0" eaLnBrk="1" latinLnBrk="0" hangingPunct="1">
            <a:defRPr sz="1944" kern="1200">
              <a:solidFill>
                <a:schemeClr val="tx1"/>
              </a:solidFill>
              <a:latin typeface="+mn-lt"/>
              <a:ea typeface="+mn-ea"/>
              <a:cs typeface="+mn-cs"/>
            </a:defRPr>
          </a:lvl5pPr>
          <a:lvl6pPr marL="2468880" algn="l" defTabSz="987552" rtl="0" eaLnBrk="1" latinLnBrk="0" hangingPunct="1">
            <a:defRPr sz="1944" kern="1200">
              <a:solidFill>
                <a:schemeClr val="tx1"/>
              </a:solidFill>
              <a:latin typeface="+mn-lt"/>
              <a:ea typeface="+mn-ea"/>
              <a:cs typeface="+mn-cs"/>
            </a:defRPr>
          </a:lvl6pPr>
          <a:lvl7pPr marL="2962656" algn="l" defTabSz="987552" rtl="0" eaLnBrk="1" latinLnBrk="0" hangingPunct="1">
            <a:defRPr sz="1944" kern="1200">
              <a:solidFill>
                <a:schemeClr val="tx1"/>
              </a:solidFill>
              <a:latin typeface="+mn-lt"/>
              <a:ea typeface="+mn-ea"/>
              <a:cs typeface="+mn-cs"/>
            </a:defRPr>
          </a:lvl7pPr>
          <a:lvl8pPr marL="3456432" algn="l" defTabSz="987552" rtl="0" eaLnBrk="1" latinLnBrk="0" hangingPunct="1">
            <a:defRPr sz="1944" kern="1200">
              <a:solidFill>
                <a:schemeClr val="tx1"/>
              </a:solidFill>
              <a:latin typeface="+mn-lt"/>
              <a:ea typeface="+mn-ea"/>
              <a:cs typeface="+mn-cs"/>
            </a:defRPr>
          </a:lvl8pPr>
          <a:lvl9pPr marL="3950208" algn="l" defTabSz="987552" rtl="0" eaLnBrk="1" latinLnBrk="0" hangingPunct="1">
            <a:defRPr sz="1944" kern="1200">
              <a:solidFill>
                <a:schemeClr val="tx1"/>
              </a:solidFill>
              <a:latin typeface="+mn-lt"/>
              <a:ea typeface="+mn-ea"/>
              <a:cs typeface="+mn-cs"/>
            </a:defRPr>
          </a:lvl9pPr>
        </a:lstStyle>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©1996-2021</a:t>
          </a:r>
        </a:p>
        <a:p>
          <a:pPr algn="ctr" defTabSz="847210"/>
          <a:r>
            <a:rPr lang="en-US" sz="1050">
              <a:solidFill>
                <a:schemeClr val="tx1">
                  <a:lumMod val="60000"/>
                  <a:lumOff val="40000"/>
                </a:schemeClr>
              </a:solidFill>
              <a:latin typeface="Times New Roman" panose="02020603050405020304" pitchFamily="18" charset="0"/>
              <a:cs typeface="Times New Roman" panose="02020603050405020304" pitchFamily="18" charset="0"/>
            </a:rPr>
            <a:t>www.healthteamworks.org</a:t>
          </a:r>
        </a:p>
      </xdr:txBody>
    </xdr:sp>
    <xdr:clientData/>
  </xdr:twoCellAnchor>
  <xdr:twoCellAnchor editAs="oneCell">
    <xdr:from>
      <xdr:col>1</xdr:col>
      <xdr:colOff>31749</xdr:colOff>
      <xdr:row>53</xdr:row>
      <xdr:rowOff>846664</xdr:rowOff>
    </xdr:from>
    <xdr:to>
      <xdr:col>5</xdr:col>
      <xdr:colOff>342475</xdr:colOff>
      <xdr:row>53</xdr:row>
      <xdr:rowOff>2867200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4339166" y="23240997"/>
          <a:ext cx="4794249" cy="2018631"/>
        </a:xfrm>
        <a:prstGeom prst="rect">
          <a:avLst/>
        </a:prstGeom>
      </xdr:spPr>
    </xdr:pic>
    <xdr:clientData/>
  </xdr:twoCellAnchor>
  <xdr:twoCellAnchor editAs="oneCell">
    <xdr:from>
      <xdr:col>5</xdr:col>
      <xdr:colOff>1210027</xdr:colOff>
      <xdr:row>53</xdr:row>
      <xdr:rowOff>624417</xdr:rowOff>
    </xdr:from>
    <xdr:to>
      <xdr:col>12</xdr:col>
      <xdr:colOff>115878</xdr:colOff>
      <xdr:row>53</xdr:row>
      <xdr:rowOff>1085852</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0004777" y="23018750"/>
          <a:ext cx="4308123" cy="457625"/>
        </a:xfrm>
        <a:prstGeom prst="rect">
          <a:avLst/>
        </a:prstGeom>
      </xdr:spPr>
    </xdr:pic>
    <xdr:clientData/>
  </xdr:twoCellAnchor>
  <xdr:twoCellAnchor editAs="oneCell">
    <xdr:from>
      <xdr:col>5</xdr:col>
      <xdr:colOff>1209327</xdr:colOff>
      <xdr:row>53</xdr:row>
      <xdr:rowOff>1094317</xdr:rowOff>
    </xdr:from>
    <xdr:to>
      <xdr:col>12</xdr:col>
      <xdr:colOff>105083</xdr:colOff>
      <xdr:row>53</xdr:row>
      <xdr:rowOff>1544520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0004077" y="23488650"/>
          <a:ext cx="4296123" cy="446393"/>
        </a:xfrm>
        <a:prstGeom prst="rect">
          <a:avLst/>
        </a:prstGeom>
      </xdr:spPr>
    </xdr:pic>
    <xdr:clientData/>
  </xdr:twoCellAnchor>
  <xdr:twoCellAnchor editAs="oneCell">
    <xdr:from>
      <xdr:col>5</xdr:col>
      <xdr:colOff>306917</xdr:colOff>
      <xdr:row>53</xdr:row>
      <xdr:rowOff>1526118</xdr:rowOff>
    </xdr:from>
    <xdr:to>
      <xdr:col>12</xdr:col>
      <xdr:colOff>115879</xdr:colOff>
      <xdr:row>53</xdr:row>
      <xdr:rowOff>1979508</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9101667" y="23920451"/>
          <a:ext cx="5211234" cy="457200"/>
        </a:xfrm>
        <a:prstGeom prst="rect">
          <a:avLst/>
        </a:prstGeom>
      </xdr:spPr>
    </xdr:pic>
    <xdr:clientData/>
  </xdr:twoCellAnchor>
  <xdr:twoCellAnchor editAs="oneCell">
    <xdr:from>
      <xdr:col>5</xdr:col>
      <xdr:colOff>1235427</xdr:colOff>
      <xdr:row>53</xdr:row>
      <xdr:rowOff>2453218</xdr:rowOff>
    </xdr:from>
    <xdr:to>
      <xdr:col>12</xdr:col>
      <xdr:colOff>143183</xdr:colOff>
      <xdr:row>53</xdr:row>
      <xdr:rowOff>2924463</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10030177" y="24847551"/>
          <a:ext cx="4308123" cy="469340"/>
        </a:xfrm>
        <a:prstGeom prst="rect">
          <a:avLst/>
        </a:prstGeom>
      </xdr:spPr>
    </xdr:pic>
    <xdr:clientData/>
  </xdr:twoCellAnchor>
  <xdr:twoCellAnchor editAs="oneCell">
    <xdr:from>
      <xdr:col>5</xdr:col>
      <xdr:colOff>1232629</xdr:colOff>
      <xdr:row>53</xdr:row>
      <xdr:rowOff>1957918</xdr:rowOff>
    </xdr:from>
    <xdr:to>
      <xdr:col>12</xdr:col>
      <xdr:colOff>94289</xdr:colOff>
      <xdr:row>53</xdr:row>
      <xdr:rowOff>2477460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a:stretch>
          <a:fillRect/>
        </a:stretch>
      </xdr:blipFill>
      <xdr:spPr>
        <a:xfrm>
          <a:off x="10027379" y="24352251"/>
          <a:ext cx="4260122" cy="515732"/>
        </a:xfrm>
        <a:prstGeom prst="rect">
          <a:avLst/>
        </a:prstGeom>
      </xdr:spPr>
    </xdr:pic>
    <xdr:clientData/>
  </xdr:twoCellAnchor>
  <xdr:twoCellAnchor>
    <xdr:from>
      <xdr:col>4</xdr:col>
      <xdr:colOff>1065633</xdr:colOff>
      <xdr:row>0</xdr:row>
      <xdr:rowOff>43793</xdr:rowOff>
    </xdr:from>
    <xdr:to>
      <xdr:col>12</xdr:col>
      <xdr:colOff>570611</xdr:colOff>
      <xdr:row>0</xdr:row>
      <xdr:rowOff>461206</xdr:rowOff>
    </xdr:to>
    <xdr:sp macro="" textlink="">
      <xdr:nvSpPr>
        <xdr:cNvPr id="15" name="Text Box 12">
          <a:hlinkClick xmlns:r="http://schemas.openxmlformats.org/officeDocument/2006/relationships" r:id="rId7"/>
          <a:extLst>
            <a:ext uri="{FF2B5EF4-FFF2-40B4-BE49-F238E27FC236}">
              <a16:creationId xmlns:a16="http://schemas.microsoft.com/office/drawing/2014/main" id="{8A9F2905-BDF7-CA48-B00F-011DF797A141}"/>
            </a:ext>
          </a:extLst>
        </xdr:cNvPr>
        <xdr:cNvSpPr txBox="1">
          <a:spLocks noChangeArrowheads="1"/>
        </xdr:cNvSpPr>
      </xdr:nvSpPr>
      <xdr:spPr bwMode="auto">
        <a:xfrm>
          <a:off x="8714828" y="43793"/>
          <a:ext cx="6044749" cy="417413"/>
        </a:xfrm>
        <a:prstGeom prst="rect">
          <a:avLst/>
        </a:prstGeom>
        <a:solidFill>
          <a:schemeClr val="bg1">
            <a:lumMod val="85000"/>
          </a:schemeClr>
        </a:solidFill>
        <a:ln w="9525">
          <a:noFill/>
          <a:miter lim="800000"/>
          <a:headEnd/>
          <a:tailEnd/>
        </a:ln>
      </xdr:spPr>
      <xdr:txBody>
        <a:bodyPr vertOverflow="clip" wrap="square" lIns="27432" tIns="22860" rIns="0" bIns="0" anchor="ctr" upright="1"/>
        <a:lstStyle/>
        <a:p>
          <a:pPr algn="r" rtl="0">
            <a:defRPr sz="1000"/>
          </a:pPr>
          <a:r>
            <a:rPr lang="en-US" sz="1100" b="0" i="0" u="none" strike="noStrike" baseline="0">
              <a:solidFill>
                <a:srgbClr val="000000"/>
              </a:solidFill>
              <a:latin typeface="Calibri" pitchFamily="2" charset="0"/>
              <a:cs typeface="Calibri" pitchFamily="2" charset="0"/>
            </a:rPr>
            <a:t>By using this resource, the recipient is agreeing to the HealthTeamWorks Terms of Use as defined here:  </a:t>
          </a:r>
          <a:r>
            <a:rPr lang="en-US" sz="1100" b="0" i="0" u="sng" strike="noStrike" baseline="0">
              <a:solidFill>
                <a:schemeClr val="accent1"/>
              </a:solidFill>
              <a:latin typeface="Calibri" pitchFamily="2" charset="0"/>
              <a:cs typeface="Calibri" pitchFamily="2" charset="0"/>
            </a:rPr>
            <a:t>https://www.healthteamworks.org/content/terms-and-conditions-tools-and-materials</a:t>
          </a:r>
        </a:p>
      </xdr:txBody>
    </xdr:sp>
    <xdr:clientData/>
  </xdr:twoCellAnchor>
  <xdr:twoCellAnchor editAs="oneCell">
    <xdr:from>
      <xdr:col>1</xdr:col>
      <xdr:colOff>218966</xdr:colOff>
      <xdr:row>0</xdr:row>
      <xdr:rowOff>72989</xdr:rowOff>
    </xdr:from>
    <xdr:to>
      <xdr:col>3</xdr:col>
      <xdr:colOff>267415</xdr:colOff>
      <xdr:row>0</xdr:row>
      <xdr:rowOff>514730</xdr:rowOff>
    </xdr:to>
    <xdr:pic>
      <xdr:nvPicPr>
        <xdr:cNvPr id="16" name="Picture 15">
          <a:extLst>
            <a:ext uri="{FF2B5EF4-FFF2-40B4-BE49-F238E27FC236}">
              <a16:creationId xmlns:a16="http://schemas.microsoft.com/office/drawing/2014/main" id="{B9984F22-3D27-BB41-B7C9-A9B27B4D02D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4525288" y="72989"/>
          <a:ext cx="2037546" cy="437931"/>
        </a:xfrm>
        <a:prstGeom prst="rect">
          <a:avLst/>
        </a:prstGeom>
      </xdr:spPr>
    </xdr:pic>
    <xdr:clientData/>
  </xdr:twoCellAnchor>
  <xdr:twoCellAnchor editAs="oneCell">
    <xdr:from>
      <xdr:col>14</xdr:col>
      <xdr:colOff>14111</xdr:colOff>
      <xdr:row>57</xdr:row>
      <xdr:rowOff>1130904</xdr:rowOff>
    </xdr:from>
    <xdr:to>
      <xdr:col>31</xdr:col>
      <xdr:colOff>399144</xdr:colOff>
      <xdr:row>89</xdr:row>
      <xdr:rowOff>122998</xdr:rowOff>
    </xdr:to>
    <xdr:pic>
      <xdr:nvPicPr>
        <xdr:cNvPr id="10" name="Picture 9">
          <a:extLst>
            <a:ext uri="{FF2B5EF4-FFF2-40B4-BE49-F238E27FC236}">
              <a16:creationId xmlns:a16="http://schemas.microsoft.com/office/drawing/2014/main" id="{DAB7F08E-3348-EF42-9B43-5756204647FB}"/>
            </a:ext>
          </a:extLst>
        </xdr:cNvPr>
        <xdr:cNvPicPr>
          <a:picLocks noChangeAspect="1"/>
        </xdr:cNvPicPr>
      </xdr:nvPicPr>
      <xdr:blipFill>
        <a:blip xmlns:r="http://schemas.openxmlformats.org/officeDocument/2006/relationships" r:embed="rId9"/>
        <a:stretch>
          <a:fillRect/>
        </a:stretch>
      </xdr:blipFill>
      <xdr:spPr>
        <a:xfrm>
          <a:off x="15308540" y="37797618"/>
          <a:ext cx="14572747" cy="11238523"/>
        </a:xfrm>
        <a:prstGeom prst="rect">
          <a:avLst/>
        </a:prstGeom>
        <a:ln>
          <a:solidFill>
            <a:schemeClr val="tx1"/>
          </a:solidFill>
        </a:ln>
      </xdr:spPr>
    </xdr:pic>
    <xdr:clientData/>
  </xdr:twoCellAnchor>
  <xdr:twoCellAnchor editAs="oneCell">
    <xdr:from>
      <xdr:col>14</xdr:col>
      <xdr:colOff>18142</xdr:colOff>
      <xdr:row>46</xdr:row>
      <xdr:rowOff>616857</xdr:rowOff>
    </xdr:from>
    <xdr:to>
      <xdr:col>31</xdr:col>
      <xdr:colOff>380592</xdr:colOff>
      <xdr:row>57</xdr:row>
      <xdr:rowOff>852714</xdr:rowOff>
    </xdr:to>
    <xdr:pic>
      <xdr:nvPicPr>
        <xdr:cNvPr id="12" name="Picture 11">
          <a:extLst>
            <a:ext uri="{FF2B5EF4-FFF2-40B4-BE49-F238E27FC236}">
              <a16:creationId xmlns:a16="http://schemas.microsoft.com/office/drawing/2014/main" id="{79A4121A-ED99-E542-BFA3-475D969EF078}"/>
            </a:ext>
          </a:extLst>
        </xdr:cNvPr>
        <xdr:cNvPicPr>
          <a:picLocks noChangeAspect="1"/>
        </xdr:cNvPicPr>
      </xdr:nvPicPr>
      <xdr:blipFill>
        <a:blip xmlns:r="http://schemas.openxmlformats.org/officeDocument/2006/relationships" r:embed="rId10"/>
        <a:stretch>
          <a:fillRect/>
        </a:stretch>
      </xdr:blipFill>
      <xdr:spPr>
        <a:xfrm>
          <a:off x="15312571" y="25545143"/>
          <a:ext cx="14550164" cy="11974285"/>
        </a:xfrm>
        <a:prstGeom prst="rect">
          <a:avLst/>
        </a:prstGeom>
        <a:ln>
          <a:solidFill>
            <a:schemeClr val="tx1"/>
          </a:solidFill>
        </a:ln>
      </xdr:spPr>
    </xdr:pic>
    <xdr:clientData/>
  </xdr:twoCellAnchor>
  <xdr:twoCellAnchor editAs="oneCell">
    <xdr:from>
      <xdr:col>14</xdr:col>
      <xdr:colOff>9897</xdr:colOff>
      <xdr:row>16</xdr:row>
      <xdr:rowOff>821371</xdr:rowOff>
    </xdr:from>
    <xdr:to>
      <xdr:col>26</xdr:col>
      <xdr:colOff>537800</xdr:colOff>
      <xdr:row>38</xdr:row>
      <xdr:rowOff>90714</xdr:rowOff>
    </xdr:to>
    <xdr:pic>
      <xdr:nvPicPr>
        <xdr:cNvPr id="2" name="Picture 1">
          <a:extLst>
            <a:ext uri="{FF2B5EF4-FFF2-40B4-BE49-F238E27FC236}">
              <a16:creationId xmlns:a16="http://schemas.microsoft.com/office/drawing/2014/main" id="{5FCE9AD5-78B9-DA45-AD53-8965486725A6}"/>
            </a:ext>
          </a:extLst>
        </xdr:cNvPr>
        <xdr:cNvPicPr>
          <a:picLocks noChangeAspect="1"/>
        </xdr:cNvPicPr>
      </xdr:nvPicPr>
      <xdr:blipFill>
        <a:blip xmlns:r="http://schemas.openxmlformats.org/officeDocument/2006/relationships" r:embed="rId11"/>
        <a:stretch>
          <a:fillRect/>
        </a:stretch>
      </xdr:blipFill>
      <xdr:spPr>
        <a:xfrm>
          <a:off x="15304326" y="10872514"/>
          <a:ext cx="10542760" cy="10082486"/>
        </a:xfrm>
        <a:prstGeom prst="rect">
          <a:avLst/>
        </a:prstGeom>
        <a:ln>
          <a:solidFill>
            <a:schemeClr val="tx1"/>
          </a:solidFill>
        </a:ln>
      </xdr:spPr>
    </xdr:pic>
    <xdr:clientData/>
  </xdr:twoCellAnchor>
  <xdr:twoCellAnchor editAs="oneCell">
    <xdr:from>
      <xdr:col>14</xdr:col>
      <xdr:colOff>24193</xdr:colOff>
      <xdr:row>39</xdr:row>
      <xdr:rowOff>154060</xdr:rowOff>
    </xdr:from>
    <xdr:to>
      <xdr:col>30</xdr:col>
      <xdr:colOff>572448</xdr:colOff>
      <xdr:row>46</xdr:row>
      <xdr:rowOff>90715</xdr:rowOff>
    </xdr:to>
    <xdr:pic>
      <xdr:nvPicPr>
        <xdr:cNvPr id="20" name="Picture 19">
          <a:extLst>
            <a:ext uri="{FF2B5EF4-FFF2-40B4-BE49-F238E27FC236}">
              <a16:creationId xmlns:a16="http://schemas.microsoft.com/office/drawing/2014/main" id="{073F24AD-5510-514B-B08E-F9983B8B25EF}"/>
            </a:ext>
          </a:extLst>
        </xdr:cNvPr>
        <xdr:cNvPicPr>
          <a:picLocks noChangeAspect="1"/>
        </xdr:cNvPicPr>
      </xdr:nvPicPr>
      <xdr:blipFill>
        <a:blip xmlns:r="http://schemas.openxmlformats.org/officeDocument/2006/relationships" r:embed="rId12"/>
        <a:stretch>
          <a:fillRect/>
        </a:stretch>
      </xdr:blipFill>
      <xdr:spPr>
        <a:xfrm>
          <a:off x="15318622" y="21217917"/>
          <a:ext cx="13901397" cy="3801084"/>
        </a:xfrm>
        <a:prstGeom prst="rect">
          <a:avLst/>
        </a:prstGeom>
      </xdr:spPr>
    </xdr:pic>
    <xdr:clientData/>
  </xdr:twoCellAnchor>
  <xdr:twoCellAnchor editAs="oneCell">
    <xdr:from>
      <xdr:col>14</xdr:col>
      <xdr:colOff>18141</xdr:colOff>
      <xdr:row>4</xdr:row>
      <xdr:rowOff>127001</xdr:rowOff>
    </xdr:from>
    <xdr:to>
      <xdr:col>23</xdr:col>
      <xdr:colOff>604157</xdr:colOff>
      <xdr:row>16</xdr:row>
      <xdr:rowOff>365882</xdr:rowOff>
    </xdr:to>
    <xdr:pic>
      <xdr:nvPicPr>
        <xdr:cNvPr id="19" name="Picture 18">
          <a:extLst>
            <a:ext uri="{FF2B5EF4-FFF2-40B4-BE49-F238E27FC236}">
              <a16:creationId xmlns:a16="http://schemas.microsoft.com/office/drawing/2014/main" id="{81777D09-3B5F-0747-A3A1-2AAAE1A26940}"/>
            </a:ext>
          </a:extLst>
        </xdr:cNvPr>
        <xdr:cNvPicPr>
          <a:picLocks noChangeAspect="1"/>
        </xdr:cNvPicPr>
      </xdr:nvPicPr>
      <xdr:blipFill>
        <a:blip xmlns:r="http://schemas.openxmlformats.org/officeDocument/2006/relationships" r:embed="rId13"/>
        <a:stretch>
          <a:fillRect/>
        </a:stretch>
      </xdr:blipFill>
      <xdr:spPr>
        <a:xfrm>
          <a:off x="15312570" y="1397001"/>
          <a:ext cx="8097158" cy="9020024"/>
        </a:xfrm>
        <a:prstGeom prst="rect">
          <a:avLst/>
        </a:prstGeom>
      </xdr:spPr>
    </xdr:pic>
    <xdr:clientData/>
  </xdr:twoCellAnchor>
  <xdr:twoCellAnchor editAs="oneCell">
    <xdr:from>
      <xdr:col>24</xdr:col>
      <xdr:colOff>54429</xdr:colOff>
      <xdr:row>4</xdr:row>
      <xdr:rowOff>217714</xdr:rowOff>
    </xdr:from>
    <xdr:to>
      <xdr:col>33</xdr:col>
      <xdr:colOff>631371</xdr:colOff>
      <xdr:row>12</xdr:row>
      <xdr:rowOff>694267</xdr:rowOff>
    </xdr:to>
    <xdr:pic>
      <xdr:nvPicPr>
        <xdr:cNvPr id="21" name="Picture 20">
          <a:extLst>
            <a:ext uri="{FF2B5EF4-FFF2-40B4-BE49-F238E27FC236}">
              <a16:creationId xmlns:a16="http://schemas.microsoft.com/office/drawing/2014/main" id="{4A94127A-AD2B-C74E-B6AD-B0894485DF8E}"/>
            </a:ext>
          </a:extLst>
        </xdr:cNvPr>
        <xdr:cNvPicPr>
          <a:picLocks noChangeAspect="1"/>
        </xdr:cNvPicPr>
      </xdr:nvPicPr>
      <xdr:blipFill>
        <a:blip xmlns:r="http://schemas.openxmlformats.org/officeDocument/2006/relationships" r:embed="rId14"/>
        <a:stretch>
          <a:fillRect/>
        </a:stretch>
      </xdr:blipFill>
      <xdr:spPr>
        <a:xfrm>
          <a:off x="23694572" y="1487714"/>
          <a:ext cx="8088085" cy="66451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ealthteamworks.org/content/primary-care-first-support" TargetMode="External"/><Relationship Id="rId1" Type="http://schemas.openxmlformats.org/officeDocument/2006/relationships/hyperlink" Target="https://www.healthteamworks.org/content/primary-care-first-suppor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6F120-255B-DB4B-A1A7-625A4057A122}">
  <sheetPr codeName="Sheet1">
    <tabColor rgb="FF00B050"/>
    <pageSetUpPr fitToPage="1"/>
  </sheetPr>
  <dimension ref="A1:W108"/>
  <sheetViews>
    <sheetView tabSelected="1" zoomScale="180" zoomScaleNormal="180" workbookViewId="0">
      <selection activeCell="D33" sqref="D33"/>
    </sheetView>
  </sheetViews>
  <sheetFormatPr baseColWidth="10" defaultColWidth="10.83203125" defaultRowHeight="16" x14ac:dyDescent="0.2"/>
  <cols>
    <col min="1" max="1" width="4.6640625" style="6" customWidth="1"/>
    <col min="2" max="2" width="42.33203125" style="6" customWidth="1"/>
    <col min="3" max="3" width="60.83203125" style="6" customWidth="1"/>
    <col min="4" max="4" width="17.5" style="6" customWidth="1"/>
    <col min="5" max="5" width="16.33203125" style="6" customWidth="1"/>
    <col min="6" max="6" width="14.83203125" style="6" customWidth="1"/>
    <col min="7" max="7" width="3.33203125" style="229" customWidth="1"/>
    <col min="8" max="8" width="3.33203125" style="279" customWidth="1"/>
    <col min="9" max="9" width="12.83203125" style="6" bestFit="1" customWidth="1"/>
    <col min="10" max="10" width="14.6640625" style="6" customWidth="1"/>
    <col min="11" max="11" width="12.6640625" style="6" bestFit="1" customWidth="1"/>
    <col min="12" max="16384" width="10.83203125" style="6"/>
  </cols>
  <sheetData>
    <row r="1" spans="1:8" s="27" customFormat="1" ht="45" customHeight="1" x14ac:dyDescent="0.25">
      <c r="A1" s="70"/>
      <c r="B1" s="71"/>
      <c r="C1" s="629"/>
      <c r="D1" s="630"/>
      <c r="E1" s="630"/>
      <c r="F1" s="631"/>
      <c r="G1" s="227"/>
      <c r="H1" s="423"/>
    </row>
    <row r="2" spans="1:8" s="4" customFormat="1" ht="23.25" customHeight="1" x14ac:dyDescent="0.3">
      <c r="A2" s="15"/>
      <c r="B2" s="632" t="s">
        <v>0</v>
      </c>
      <c r="C2" s="633"/>
      <c r="D2" s="633"/>
      <c r="E2" s="633"/>
      <c r="F2" s="634"/>
      <c r="G2" s="228"/>
      <c r="H2" s="424"/>
    </row>
    <row r="3" spans="1:8" s="4" customFormat="1" ht="17" customHeight="1" x14ac:dyDescent="0.3">
      <c r="A3" s="15"/>
      <c r="B3" s="642" t="s">
        <v>616</v>
      </c>
      <c r="C3" s="643"/>
      <c r="D3" s="644" t="s">
        <v>615</v>
      </c>
      <c r="E3" s="644"/>
      <c r="F3" s="645"/>
      <c r="G3" s="228"/>
      <c r="H3" s="424"/>
    </row>
    <row r="4" spans="1:8" s="4" customFormat="1" ht="19" customHeight="1" x14ac:dyDescent="0.3">
      <c r="A4" s="15"/>
      <c r="B4" s="18" t="s">
        <v>1</v>
      </c>
      <c r="C4" s="72" t="s">
        <v>2</v>
      </c>
      <c r="D4" s="639" t="s">
        <v>3</v>
      </c>
      <c r="E4" s="640"/>
      <c r="F4" s="641"/>
      <c r="G4" s="228"/>
      <c r="H4" s="424"/>
    </row>
    <row r="5" spans="1:8" s="405" customFormat="1" ht="19" customHeight="1" x14ac:dyDescent="0.3">
      <c r="A5" s="15"/>
      <c r="B5" s="406" t="s">
        <v>4</v>
      </c>
      <c r="C5" s="407" t="s">
        <v>5</v>
      </c>
      <c r="D5" s="635" t="s">
        <v>6</v>
      </c>
      <c r="E5" s="636"/>
      <c r="F5" s="637"/>
      <c r="G5" s="404"/>
      <c r="H5" s="425"/>
    </row>
    <row r="6" spans="1:8" ht="40" x14ac:dyDescent="0.25">
      <c r="A6" s="16"/>
      <c r="B6" s="411" t="s">
        <v>7</v>
      </c>
      <c r="C6" s="413" t="s">
        <v>542</v>
      </c>
      <c r="D6" s="414" t="s">
        <v>8</v>
      </c>
      <c r="E6" s="414" t="s">
        <v>9</v>
      </c>
      <c r="F6" s="412" t="s">
        <v>10</v>
      </c>
    </row>
    <row r="7" spans="1:8" x14ac:dyDescent="0.2">
      <c r="A7" s="75"/>
      <c r="B7" s="522" t="s">
        <v>11</v>
      </c>
      <c r="C7" s="132" t="s">
        <v>12</v>
      </c>
      <c r="D7" s="114">
        <v>4</v>
      </c>
      <c r="E7" s="114">
        <v>4</v>
      </c>
      <c r="F7" s="115"/>
    </row>
    <row r="8" spans="1:8" ht="17" x14ac:dyDescent="0.2">
      <c r="A8" s="75"/>
      <c r="B8" s="76" t="s">
        <v>13</v>
      </c>
      <c r="C8" s="75" t="s">
        <v>14</v>
      </c>
      <c r="D8" s="114">
        <v>6000</v>
      </c>
      <c r="E8" s="114">
        <v>6000</v>
      </c>
      <c r="F8" s="115"/>
    </row>
    <row r="9" spans="1:8" x14ac:dyDescent="0.2">
      <c r="A9" s="75"/>
      <c r="B9" s="523"/>
      <c r="C9" s="75" t="s">
        <v>15</v>
      </c>
      <c r="D9" s="158">
        <f>D10/D8</f>
        <v>9.166666666666666E-2</v>
      </c>
      <c r="E9" s="158">
        <f>E10/E8</f>
        <v>9.166666666666666E-2</v>
      </c>
      <c r="F9" s="115"/>
    </row>
    <row r="10" spans="1:8" ht="15" customHeight="1" x14ac:dyDescent="0.2">
      <c r="A10" s="75"/>
      <c r="B10" s="10"/>
      <c r="C10" s="239" t="s">
        <v>16</v>
      </c>
      <c r="D10" s="601">
        <v>550</v>
      </c>
      <c r="E10" s="601">
        <v>550</v>
      </c>
      <c r="F10" s="115"/>
    </row>
    <row r="11" spans="1:8" ht="15" customHeight="1" x14ac:dyDescent="0.2">
      <c r="A11" s="75"/>
      <c r="B11" s="10"/>
      <c r="C11" s="104" t="s">
        <v>17</v>
      </c>
      <c r="D11" s="90">
        <v>1</v>
      </c>
      <c r="E11" s="524">
        <v>1</v>
      </c>
      <c r="F11" s="115"/>
    </row>
    <row r="12" spans="1:8" ht="15" customHeight="1" x14ac:dyDescent="0.2">
      <c r="A12" s="75"/>
      <c r="B12" s="76"/>
      <c r="C12" s="232" t="s">
        <v>18</v>
      </c>
      <c r="D12" s="525">
        <f>D10*D11</f>
        <v>550</v>
      </c>
      <c r="E12" s="525">
        <f>E10*E11</f>
        <v>550</v>
      </c>
      <c r="F12" s="115"/>
    </row>
    <row r="13" spans="1:8" ht="15" customHeight="1" x14ac:dyDescent="0.2">
      <c r="A13" s="75"/>
      <c r="B13" s="76"/>
      <c r="C13" s="105" t="s">
        <v>19</v>
      </c>
      <c r="D13" s="91">
        <v>0.15</v>
      </c>
      <c r="E13" s="91">
        <v>0.15</v>
      </c>
      <c r="F13" s="115"/>
    </row>
    <row r="14" spans="1:8" ht="17" x14ac:dyDescent="0.2">
      <c r="A14" s="75"/>
      <c r="B14" s="259"/>
      <c r="C14" s="260" t="s">
        <v>20</v>
      </c>
      <c r="D14" s="91">
        <v>0</v>
      </c>
      <c r="E14" s="91">
        <v>0</v>
      </c>
      <c r="F14" s="115"/>
    </row>
    <row r="15" spans="1:8" ht="15" customHeight="1" x14ac:dyDescent="0.2">
      <c r="A15" s="75"/>
      <c r="B15" s="9" t="s">
        <v>21</v>
      </c>
      <c r="C15" s="75" t="s">
        <v>22</v>
      </c>
      <c r="D15" s="415">
        <f>IF(ISBLANK(D16),D17,D16)</f>
        <v>4.3</v>
      </c>
      <c r="E15" s="416">
        <f>IF(ISBLANK(E16),E17,E16)</f>
        <v>4.3</v>
      </c>
      <c r="F15" s="231"/>
    </row>
    <row r="16" spans="1:8" ht="15" customHeight="1" x14ac:dyDescent="0.2">
      <c r="A16" s="75"/>
      <c r="B16" s="9"/>
      <c r="C16" s="236" t="s">
        <v>433</v>
      </c>
      <c r="D16" s="417"/>
      <c r="E16" s="418"/>
      <c r="F16" s="231"/>
    </row>
    <row r="17" spans="1:6" ht="15" customHeight="1" x14ac:dyDescent="0.2">
      <c r="A17" s="75"/>
      <c r="B17" s="9"/>
      <c r="C17" s="242" t="s">
        <v>434</v>
      </c>
      <c r="D17" s="415">
        <f>'Algorithm Ref Tables'!C12</f>
        <v>4.3</v>
      </c>
      <c r="E17" s="416">
        <f>'Algorithm Ref Tables'!D12</f>
        <v>4.3</v>
      </c>
      <c r="F17" s="231"/>
    </row>
    <row r="18" spans="1:6" x14ac:dyDescent="0.2">
      <c r="A18" s="75"/>
      <c r="B18" s="10"/>
      <c r="C18" s="104" t="s">
        <v>23</v>
      </c>
      <c r="D18" s="581">
        <v>0</v>
      </c>
      <c r="E18" s="582">
        <v>0</v>
      </c>
      <c r="F18" s="231"/>
    </row>
    <row r="19" spans="1:6" ht="15" customHeight="1" thickBot="1" x14ac:dyDescent="0.25">
      <c r="A19" s="75"/>
      <c r="B19" s="9"/>
      <c r="C19" s="260" t="s">
        <v>579</v>
      </c>
      <c r="D19" s="589">
        <v>1</v>
      </c>
      <c r="E19" s="590">
        <v>1</v>
      </c>
      <c r="F19" s="231"/>
    </row>
    <row r="20" spans="1:6" ht="17" x14ac:dyDescent="0.2">
      <c r="A20" s="75"/>
      <c r="B20" s="76" t="s">
        <v>371</v>
      </c>
      <c r="C20" s="583" t="s">
        <v>580</v>
      </c>
      <c r="D20" s="584">
        <f>40.82*D19</f>
        <v>40.82</v>
      </c>
      <c r="E20" s="584">
        <f>40.82*E19</f>
        <v>40.82</v>
      </c>
      <c r="F20" s="231"/>
    </row>
    <row r="21" spans="1:6" ht="17" x14ac:dyDescent="0.2">
      <c r="A21" s="75"/>
      <c r="B21" s="76"/>
      <c r="C21" s="104" t="s">
        <v>565</v>
      </c>
      <c r="D21" s="576"/>
      <c r="E21" s="576"/>
      <c r="F21" s="231"/>
    </row>
    <row r="22" spans="1:6" ht="18" thickBot="1" x14ac:dyDescent="0.25">
      <c r="A22" s="75"/>
      <c r="B22" s="76"/>
      <c r="C22" s="104" t="s">
        <v>566</v>
      </c>
      <c r="D22" s="577">
        <f>IF(ISBLANK(D21),D20,D21)</f>
        <v>40.82</v>
      </c>
      <c r="E22" s="577">
        <f>IF(ISBLANK(E21),E20,E21)</f>
        <v>40.82</v>
      </c>
      <c r="F22" s="231"/>
    </row>
    <row r="23" spans="1:6" x14ac:dyDescent="0.2">
      <c r="A23" s="75"/>
      <c r="B23" s="236" t="s">
        <v>24</v>
      </c>
      <c r="C23" s="578" t="s">
        <v>25</v>
      </c>
      <c r="D23" s="579">
        <f>IF(ISBLANK(D24),D25,D24)</f>
        <v>93</v>
      </c>
      <c r="E23" s="580">
        <f>IF(ISBLANK(E24),E25,E24)</f>
        <v>93</v>
      </c>
      <c r="F23" s="231"/>
    </row>
    <row r="24" spans="1:6" x14ac:dyDescent="0.2">
      <c r="A24" s="75"/>
      <c r="B24" s="236"/>
      <c r="C24" s="236" t="s">
        <v>26</v>
      </c>
      <c r="D24" s="594"/>
      <c r="E24" s="594"/>
      <c r="F24" s="115"/>
    </row>
    <row r="25" spans="1:6" x14ac:dyDescent="0.2">
      <c r="A25" s="75"/>
      <c r="B25" s="236"/>
      <c r="C25" s="242" t="s">
        <v>27</v>
      </c>
      <c r="D25" s="394">
        <f>'Algorithm Ref Tables'!C20</f>
        <v>93</v>
      </c>
      <c r="E25" s="394">
        <f>'Algorithm Ref Tables'!D20</f>
        <v>93</v>
      </c>
      <c r="F25" s="115"/>
    </row>
    <row r="26" spans="1:6" x14ac:dyDescent="0.2">
      <c r="A26" s="75"/>
      <c r="B26" s="75"/>
      <c r="C26" s="75" t="s">
        <v>28</v>
      </c>
      <c r="D26" s="252">
        <v>0.15</v>
      </c>
      <c r="E26" s="252">
        <v>0.15</v>
      </c>
      <c r="F26" s="115"/>
    </row>
    <row r="27" spans="1:6" x14ac:dyDescent="0.2">
      <c r="A27" s="10"/>
      <c r="B27" s="75"/>
      <c r="C27" s="614" t="s">
        <v>609</v>
      </c>
      <c r="D27" s="345">
        <v>20000</v>
      </c>
      <c r="E27" s="345">
        <v>20000</v>
      </c>
      <c r="F27" s="10"/>
    </row>
    <row r="28" spans="1:6" x14ac:dyDescent="0.2">
      <c r="A28" s="75"/>
      <c r="B28" s="526" t="s">
        <v>29</v>
      </c>
      <c r="C28" s="95" t="s">
        <v>30</v>
      </c>
      <c r="D28" s="26">
        <v>1</v>
      </c>
      <c r="E28" s="26">
        <v>1</v>
      </c>
      <c r="F28" s="115"/>
    </row>
    <row r="29" spans="1:6" x14ac:dyDescent="0.2">
      <c r="A29" s="75"/>
      <c r="B29" s="10"/>
      <c r="C29" s="240" t="s">
        <v>445</v>
      </c>
      <c r="D29" s="119">
        <f>'Algorithm Ref Tables'!C27</f>
        <v>59.42</v>
      </c>
      <c r="E29" s="119">
        <f>'Algorithm Ref Tables'!D27</f>
        <v>59.42</v>
      </c>
      <c r="F29" s="115"/>
    </row>
    <row r="30" spans="1:6" x14ac:dyDescent="0.2">
      <c r="A30" s="75"/>
      <c r="B30" s="17" t="s">
        <v>31</v>
      </c>
      <c r="C30" s="96" t="s">
        <v>32</v>
      </c>
      <c r="D30" s="253" t="s">
        <v>595</v>
      </c>
      <c r="E30" s="254" t="s">
        <v>595</v>
      </c>
      <c r="F30" s="115"/>
    </row>
    <row r="31" spans="1:6" ht="16" customHeight="1" x14ac:dyDescent="0.2">
      <c r="A31" s="75"/>
      <c r="B31" s="10"/>
      <c r="C31" s="240" t="s">
        <v>569</v>
      </c>
      <c r="D31" s="253" t="s">
        <v>595</v>
      </c>
      <c r="E31" s="254" t="s">
        <v>595</v>
      </c>
      <c r="F31" s="115"/>
    </row>
    <row r="32" spans="1:6" ht="16" customHeight="1" x14ac:dyDescent="0.2">
      <c r="A32" s="75"/>
      <c r="B32" s="17" t="s">
        <v>34</v>
      </c>
      <c r="C32" s="96" t="s">
        <v>521</v>
      </c>
      <c r="D32" s="120" t="s">
        <v>449</v>
      </c>
      <c r="E32" s="121" t="s">
        <v>449</v>
      </c>
      <c r="F32" s="115"/>
    </row>
    <row r="33" spans="1:7" ht="17" customHeight="1" x14ac:dyDescent="0.2">
      <c r="A33" s="75"/>
      <c r="B33" s="10"/>
      <c r="C33" s="96" t="s">
        <v>35</v>
      </c>
      <c r="D33" s="122" t="s">
        <v>450</v>
      </c>
      <c r="E33" s="73" t="s">
        <v>450</v>
      </c>
      <c r="F33" s="115"/>
    </row>
    <row r="34" spans="1:7" ht="17" x14ac:dyDescent="0.2">
      <c r="A34" s="75"/>
      <c r="B34" s="238" t="s">
        <v>36</v>
      </c>
      <c r="C34" s="97" t="s">
        <v>37</v>
      </c>
      <c r="D34" s="89">
        <v>0</v>
      </c>
      <c r="E34" s="89">
        <v>0</v>
      </c>
      <c r="F34" s="115"/>
    </row>
    <row r="35" spans="1:7" ht="19" x14ac:dyDescent="0.25">
      <c r="A35" s="75"/>
      <c r="B35" s="69"/>
      <c r="C35" s="98" t="s">
        <v>38</v>
      </c>
      <c r="D35" s="74">
        <v>3</v>
      </c>
      <c r="E35" s="74">
        <v>3</v>
      </c>
      <c r="F35" s="115"/>
    </row>
    <row r="36" spans="1:7" x14ac:dyDescent="0.2">
      <c r="A36" s="75"/>
      <c r="B36" s="527" t="s">
        <v>39</v>
      </c>
      <c r="C36" s="103" t="s">
        <v>40</v>
      </c>
      <c r="D36" s="14">
        <v>0</v>
      </c>
      <c r="E36" s="14">
        <v>0</v>
      </c>
      <c r="F36" s="115"/>
    </row>
    <row r="37" spans="1:7" x14ac:dyDescent="0.2">
      <c r="A37" s="75"/>
      <c r="B37" s="9" t="s">
        <v>41</v>
      </c>
      <c r="C37" s="104" t="s">
        <v>42</v>
      </c>
      <c r="D37" s="14">
        <v>0</v>
      </c>
      <c r="E37" s="14">
        <v>0</v>
      </c>
      <c r="F37" s="115"/>
    </row>
    <row r="38" spans="1:7" x14ac:dyDescent="0.2">
      <c r="A38" s="75"/>
      <c r="B38" s="9"/>
      <c r="C38" s="104" t="s">
        <v>491</v>
      </c>
      <c r="D38" s="14">
        <v>0</v>
      </c>
      <c r="E38" s="14">
        <v>0</v>
      </c>
      <c r="F38" s="115"/>
    </row>
    <row r="39" spans="1:7" x14ac:dyDescent="0.2">
      <c r="A39" s="75"/>
      <c r="B39" s="10"/>
      <c r="C39" s="104" t="s">
        <v>492</v>
      </c>
      <c r="D39" s="455">
        <v>0</v>
      </c>
      <c r="E39" s="14">
        <v>0</v>
      </c>
      <c r="F39" s="115"/>
    </row>
    <row r="40" spans="1:7" x14ac:dyDescent="0.2">
      <c r="A40" s="75"/>
      <c r="B40" s="10"/>
      <c r="C40" s="544" t="s">
        <v>444</v>
      </c>
      <c r="D40" s="14">
        <v>0</v>
      </c>
      <c r="E40" s="14">
        <v>0</v>
      </c>
      <c r="F40" s="115"/>
    </row>
    <row r="41" spans="1:7" x14ac:dyDescent="0.2">
      <c r="A41" s="75"/>
      <c r="B41" s="9"/>
      <c r="C41" s="628" t="s">
        <v>590</v>
      </c>
      <c r="D41" s="14">
        <v>0</v>
      </c>
      <c r="E41" s="14">
        <v>0</v>
      </c>
      <c r="F41" s="115"/>
    </row>
    <row r="42" spans="1:7" x14ac:dyDescent="0.2">
      <c r="A42" s="75"/>
      <c r="B42" s="9" t="s">
        <v>45</v>
      </c>
      <c r="C42" s="545"/>
      <c r="D42" s="14">
        <v>0</v>
      </c>
      <c r="E42" s="14">
        <v>0</v>
      </c>
      <c r="F42" s="115"/>
    </row>
    <row r="43" spans="1:7" s="128" customFormat="1" x14ac:dyDescent="0.2">
      <c r="A43" s="75"/>
      <c r="B43" s="10"/>
      <c r="C43" s="99"/>
      <c r="D43" s="14">
        <v>0</v>
      </c>
      <c r="E43" s="14">
        <v>0</v>
      </c>
      <c r="F43" s="115"/>
      <c r="G43" s="230"/>
    </row>
    <row r="44" spans="1:7" x14ac:dyDescent="0.2">
      <c r="A44" s="75"/>
      <c r="B44" s="10"/>
      <c r="C44" s="99"/>
      <c r="D44" s="14">
        <v>0</v>
      </c>
      <c r="E44" s="14">
        <v>0</v>
      </c>
      <c r="F44" s="115"/>
    </row>
    <row r="45" spans="1:7" x14ac:dyDescent="0.2">
      <c r="A45" s="75"/>
      <c r="B45" s="125"/>
      <c r="C45" s="100" t="s">
        <v>46</v>
      </c>
      <c r="D45" s="126">
        <f>'Algorithm Ref Tables'!K34</f>
        <v>0</v>
      </c>
      <c r="E45" s="126">
        <f>'Algorithm Ref Tables'!L34</f>
        <v>0</v>
      </c>
      <c r="F45" s="127">
        <f>D45-E45</f>
        <v>0</v>
      </c>
    </row>
    <row r="46" spans="1:7" x14ac:dyDescent="0.2">
      <c r="A46" s="10"/>
      <c r="B46" s="527" t="s">
        <v>47</v>
      </c>
      <c r="C46" s="95"/>
      <c r="D46" s="10"/>
      <c r="E46" s="10"/>
      <c r="F46" s="10"/>
    </row>
    <row r="47" spans="1:7" ht="17" customHeight="1" x14ac:dyDescent="0.2">
      <c r="A47" s="10"/>
      <c r="B47" s="236" t="s">
        <v>48</v>
      </c>
      <c r="C47" s="132" t="s">
        <v>559</v>
      </c>
      <c r="D47" s="344" t="s">
        <v>555</v>
      </c>
      <c r="E47" s="344" t="s">
        <v>555</v>
      </c>
      <c r="F47" s="10"/>
    </row>
    <row r="48" spans="1:7" x14ac:dyDescent="0.2">
      <c r="A48" s="10"/>
      <c r="B48" s="236" t="s">
        <v>49</v>
      </c>
      <c r="C48" s="103" t="s">
        <v>50</v>
      </c>
      <c r="D48" s="408">
        <f>D12</f>
        <v>550</v>
      </c>
      <c r="E48" s="408">
        <f>E12</f>
        <v>550</v>
      </c>
      <c r="F48" s="10"/>
    </row>
    <row r="49" spans="1:23" ht="17" customHeight="1" x14ac:dyDescent="0.2">
      <c r="A49" s="10"/>
      <c r="B49" s="75"/>
      <c r="C49" s="104" t="s">
        <v>51</v>
      </c>
      <c r="D49" s="392">
        <v>0.25</v>
      </c>
      <c r="E49" s="528">
        <v>0.25</v>
      </c>
      <c r="F49" s="10"/>
    </row>
    <row r="50" spans="1:23" x14ac:dyDescent="0.2">
      <c r="A50" s="10"/>
      <c r="B50" s="75"/>
      <c r="C50" s="104" t="s">
        <v>52</v>
      </c>
      <c r="D50" s="393">
        <v>0.5</v>
      </c>
      <c r="E50" s="528">
        <v>0.5</v>
      </c>
      <c r="F50" s="10"/>
    </row>
    <row r="51" spans="1:23" x14ac:dyDescent="0.2">
      <c r="A51" s="10"/>
      <c r="B51" s="75"/>
      <c r="C51" s="104" t="s">
        <v>53</v>
      </c>
      <c r="D51" s="393">
        <v>0.1</v>
      </c>
      <c r="E51" s="528">
        <v>0.1</v>
      </c>
      <c r="F51" s="10"/>
    </row>
    <row r="52" spans="1:23" x14ac:dyDescent="0.2">
      <c r="A52" s="10"/>
      <c r="B52" s="75"/>
      <c r="C52" s="104" t="s">
        <v>54</v>
      </c>
      <c r="D52" s="393">
        <v>0.1</v>
      </c>
      <c r="E52" s="528">
        <v>0.1</v>
      </c>
      <c r="F52" s="10"/>
    </row>
    <row r="53" spans="1:23" x14ac:dyDescent="0.2">
      <c r="A53" s="10"/>
      <c r="B53" s="75"/>
      <c r="C53" s="104" t="s">
        <v>55</v>
      </c>
      <c r="D53" s="393">
        <v>0.05</v>
      </c>
      <c r="E53" s="528">
        <v>0.05</v>
      </c>
      <c r="F53" s="10"/>
    </row>
    <row r="54" spans="1:23" x14ac:dyDescent="0.2">
      <c r="A54" s="10"/>
      <c r="B54" s="75"/>
      <c r="C54" s="242" t="s">
        <v>56</v>
      </c>
      <c r="D54" s="409">
        <f>IF(SUM(D49:D53)=100%,100%,"%ERROR")</f>
        <v>1</v>
      </c>
      <c r="E54" s="409">
        <f>IF(SUM(E49:E53)=100%,100%,"%ERROR")</f>
        <v>1</v>
      </c>
      <c r="F54" s="10"/>
    </row>
    <row r="55" spans="1:23" x14ac:dyDescent="0.2">
      <c r="A55" s="10"/>
      <c r="B55" s="236" t="s">
        <v>57</v>
      </c>
      <c r="C55" s="104" t="s">
        <v>58</v>
      </c>
      <c r="D55" s="166">
        <f>D83</f>
        <v>248533.25</v>
      </c>
      <c r="E55" s="166">
        <f>E83</f>
        <v>248533.25</v>
      </c>
      <c r="F55" s="10"/>
    </row>
    <row r="56" spans="1:23" x14ac:dyDescent="0.2">
      <c r="A56" s="10"/>
      <c r="B56" s="236" t="s">
        <v>61</v>
      </c>
      <c r="C56" s="104" t="s">
        <v>62</v>
      </c>
      <c r="D56" s="132"/>
      <c r="E56" s="132"/>
      <c r="F56" s="10"/>
    </row>
    <row r="57" spans="1:23" x14ac:dyDescent="0.2">
      <c r="A57" s="10"/>
      <c r="B57" s="75"/>
      <c r="C57" s="236" t="s">
        <v>543</v>
      </c>
      <c r="D57" s="364">
        <v>0.83</v>
      </c>
      <c r="E57" s="364">
        <v>0.83</v>
      </c>
      <c r="F57" s="10"/>
    </row>
    <row r="58" spans="1:23" x14ac:dyDescent="0.2">
      <c r="A58" s="10"/>
      <c r="B58" s="75"/>
      <c r="C58" s="236" t="s">
        <v>544</v>
      </c>
      <c r="D58" s="364">
        <v>0.25</v>
      </c>
      <c r="E58" s="364">
        <v>0.25</v>
      </c>
      <c r="F58" s="10"/>
      <c r="I58" s="7"/>
      <c r="J58" s="7"/>
      <c r="K58" s="7"/>
    </row>
    <row r="59" spans="1:23" x14ac:dyDescent="0.2">
      <c r="A59" s="10"/>
      <c r="B59" s="75"/>
      <c r="C59" s="236" t="s">
        <v>545</v>
      </c>
      <c r="D59" s="364">
        <v>0.73</v>
      </c>
      <c r="E59" s="364">
        <v>0.73</v>
      </c>
      <c r="F59" s="10"/>
      <c r="I59" s="7"/>
      <c r="J59" s="7"/>
      <c r="K59" s="7"/>
    </row>
    <row r="60" spans="1:23" x14ac:dyDescent="0.2">
      <c r="A60" s="10"/>
      <c r="B60" s="75"/>
      <c r="C60" s="104" t="s">
        <v>63</v>
      </c>
      <c r="D60" s="300"/>
      <c r="E60" s="300"/>
      <c r="F60" s="10"/>
      <c r="I60" s="7"/>
      <c r="J60" s="7"/>
      <c r="K60" s="7"/>
    </row>
    <row r="61" spans="1:23" x14ac:dyDescent="0.2">
      <c r="A61" s="289"/>
      <c r="B61" s="75"/>
      <c r="C61" s="236" t="s">
        <v>546</v>
      </c>
      <c r="D61" s="365">
        <v>0.9</v>
      </c>
      <c r="E61" s="365">
        <v>0.9</v>
      </c>
      <c r="F61" s="289"/>
      <c r="G61" s="230"/>
      <c r="H61" s="128"/>
      <c r="I61" s="7"/>
      <c r="J61" s="7"/>
      <c r="K61" s="7"/>
    </row>
    <row r="62" spans="1:23" s="131" customFormat="1" x14ac:dyDescent="0.2">
      <c r="A62" s="145"/>
      <c r="B62" s="118"/>
      <c r="C62" s="242" t="s">
        <v>547</v>
      </c>
      <c r="D62" s="365">
        <v>0.8</v>
      </c>
      <c r="E62" s="365">
        <v>0.8</v>
      </c>
      <c r="F62" s="144"/>
      <c r="G62" s="230"/>
      <c r="H62" s="128"/>
      <c r="I62" s="571"/>
      <c r="J62" s="571"/>
      <c r="K62" s="571"/>
    </row>
    <row r="63" spans="1:23" ht="16" customHeight="1" x14ac:dyDescent="0.2">
      <c r="G63" s="230"/>
      <c r="H63" s="128"/>
      <c r="I63" s="571"/>
      <c r="J63" s="571"/>
      <c r="K63" s="571"/>
      <c r="L63" s="131"/>
      <c r="M63" s="131"/>
      <c r="N63" s="131"/>
      <c r="O63" s="131"/>
      <c r="P63" s="131"/>
      <c r="Q63" s="131"/>
      <c r="R63" s="131"/>
      <c r="S63" s="131"/>
      <c r="T63" s="131"/>
      <c r="U63" s="131"/>
      <c r="V63" s="131"/>
      <c r="W63" s="131"/>
    </row>
    <row r="64" spans="1:23" ht="20" customHeight="1" x14ac:dyDescent="0.25">
      <c r="A64" s="95"/>
      <c r="B64" s="301" t="s">
        <v>64</v>
      </c>
      <c r="C64" s="101"/>
      <c r="D64" s="638" t="s">
        <v>65</v>
      </c>
      <c r="E64" s="638"/>
      <c r="F64" s="129"/>
      <c r="I64" s="131"/>
      <c r="J64" s="131"/>
      <c r="K64" s="131"/>
      <c r="L64" s="131"/>
      <c r="M64" s="131"/>
      <c r="N64" s="131"/>
      <c r="O64" s="131"/>
      <c r="P64" s="131"/>
      <c r="Q64" s="131"/>
      <c r="R64" s="131"/>
      <c r="S64" s="131"/>
      <c r="T64" s="131"/>
      <c r="U64" s="131"/>
      <c r="V64" s="131"/>
      <c r="W64" s="131"/>
    </row>
    <row r="65" spans="1:6" x14ac:dyDescent="0.2">
      <c r="A65" s="75"/>
      <c r="B65" s="529" t="s">
        <v>66</v>
      </c>
      <c r="C65" s="132" t="s">
        <v>67</v>
      </c>
      <c r="D65" s="63">
        <f>'Algorithm Ref Tables'!C8</f>
        <v>467.5</v>
      </c>
      <c r="E65" s="63">
        <f>'Algorithm Ref Tables'!D8</f>
        <v>467.5</v>
      </c>
      <c r="F65" s="231"/>
    </row>
    <row r="66" spans="1:6" x14ac:dyDescent="0.2">
      <c r="A66" s="75"/>
      <c r="B66" s="9" t="s">
        <v>68</v>
      </c>
      <c r="C66" s="237" t="s">
        <v>69</v>
      </c>
      <c r="D66" s="63">
        <f>'Algorithm Ref Tables'!C9</f>
        <v>467.5</v>
      </c>
      <c r="E66" s="63">
        <f>'Algorithm Ref Tables'!D9</f>
        <v>467.5</v>
      </c>
      <c r="F66" s="115"/>
    </row>
    <row r="67" spans="1:6" x14ac:dyDescent="0.2">
      <c r="A67" s="75"/>
      <c r="B67" s="118"/>
      <c r="C67" s="118" t="s">
        <v>70</v>
      </c>
      <c r="D67" s="302">
        <f>'Algorithm Ref Tables'!C14</f>
        <v>4.3</v>
      </c>
      <c r="E67" s="302">
        <f>'Algorithm Ref Tables'!D14</f>
        <v>4.3</v>
      </c>
      <c r="F67" s="231"/>
    </row>
    <row r="68" spans="1:6" x14ac:dyDescent="0.2">
      <c r="A68" s="75"/>
      <c r="B68" s="530" t="s">
        <v>485</v>
      </c>
      <c r="C68" s="49"/>
      <c r="D68" s="271"/>
      <c r="E68" s="271"/>
      <c r="F68" s="115"/>
    </row>
    <row r="69" spans="1:6" x14ac:dyDescent="0.2">
      <c r="A69" s="75"/>
      <c r="B69" s="9" t="s">
        <v>71</v>
      </c>
      <c r="C69" s="96" t="s">
        <v>570</v>
      </c>
      <c r="D69" s="77">
        <f>'Algorithm Ref Tables'!C38</f>
        <v>0.13</v>
      </c>
      <c r="E69" s="77">
        <f>'Algorithm Ref Tables'!D38</f>
        <v>0.13</v>
      </c>
      <c r="F69" s="115"/>
    </row>
    <row r="70" spans="1:6" ht="18" customHeight="1" x14ac:dyDescent="0.2">
      <c r="A70" s="75"/>
      <c r="B70" s="10"/>
      <c r="C70" s="106" t="s">
        <v>571</v>
      </c>
      <c r="D70" s="79">
        <f>'Algorithm Ref Tables'!C41</f>
        <v>3.5000000000000003E-2</v>
      </c>
      <c r="E70" s="79">
        <f>'Algorithm Ref Tables'!D41</f>
        <v>3.5000000000000003E-2</v>
      </c>
      <c r="F70" s="115"/>
    </row>
    <row r="71" spans="1:6" ht="17" customHeight="1" x14ac:dyDescent="0.2">
      <c r="A71" s="75"/>
      <c r="B71" s="10"/>
      <c r="C71" s="46" t="s">
        <v>72</v>
      </c>
      <c r="D71" s="271">
        <f>'Algorithm Ref Tables'!C42</f>
        <v>0.16500000000000001</v>
      </c>
      <c r="E71" s="271">
        <f>'Algorithm Ref Tables'!D42</f>
        <v>0.16500000000000001</v>
      </c>
      <c r="F71" s="115"/>
    </row>
    <row r="72" spans="1:6" ht="17" customHeight="1" x14ac:dyDescent="0.2">
      <c r="A72" s="75"/>
      <c r="B72" s="9" t="s">
        <v>486</v>
      </c>
      <c r="C72" s="13" t="s">
        <v>504</v>
      </c>
      <c r="D72" s="54">
        <f>D73+D74</f>
        <v>315986.891825</v>
      </c>
      <c r="E72" s="54">
        <f>E73+E74</f>
        <v>315986.891825</v>
      </c>
      <c r="F72" s="127">
        <f>D72-E72</f>
        <v>0</v>
      </c>
    </row>
    <row r="73" spans="1:6" x14ac:dyDescent="0.2">
      <c r="A73" s="75"/>
      <c r="B73" s="531"/>
      <c r="C73" s="236" t="s">
        <v>461</v>
      </c>
      <c r="D73" s="54">
        <f>'Algorithm Ref Tables'!K117</f>
        <v>132988.69182499999</v>
      </c>
      <c r="E73" s="54">
        <f>'Algorithm Ref Tables'!L117</f>
        <v>132988.69182499999</v>
      </c>
      <c r="F73" s="127">
        <f t="shared" ref="F73:F74" si="0">D73-E73</f>
        <v>0</v>
      </c>
    </row>
    <row r="74" spans="1:6" ht="16" customHeight="1" x14ac:dyDescent="0.2">
      <c r="A74" s="75"/>
      <c r="B74" s="532"/>
      <c r="C74" s="242" t="s">
        <v>462</v>
      </c>
      <c r="D74" s="54">
        <f>'Algorithm Ref Tables'!K120</f>
        <v>182998.2</v>
      </c>
      <c r="E74" s="54">
        <f>'Algorithm Ref Tables'!L120</f>
        <v>182998.2</v>
      </c>
      <c r="F74" s="127">
        <f t="shared" si="0"/>
        <v>0</v>
      </c>
    </row>
    <row r="75" spans="1:6" ht="18" customHeight="1" x14ac:dyDescent="0.2">
      <c r="A75" s="75"/>
      <c r="B75" s="9" t="s">
        <v>487</v>
      </c>
      <c r="C75" s="102" t="s">
        <v>74</v>
      </c>
      <c r="D75" s="255">
        <f>'Algorithm Ref Tables'!C23</f>
        <v>33.324999999999996</v>
      </c>
      <c r="E75" s="255">
        <f>'Algorithm Ref Tables'!D23</f>
        <v>33.324999999999996</v>
      </c>
      <c r="F75" s="115"/>
    </row>
    <row r="76" spans="1:6" ht="16" customHeight="1" x14ac:dyDescent="0.2">
      <c r="A76" s="75"/>
      <c r="B76" s="75"/>
      <c r="C76" s="118" t="s">
        <v>488</v>
      </c>
      <c r="D76" s="117">
        <f>'Algorithm Ref Tables'!C22</f>
        <v>41580</v>
      </c>
      <c r="E76" s="303">
        <f>'Algorithm Ref Tables'!D22</f>
        <v>41580</v>
      </c>
      <c r="F76" s="304">
        <f>D76-E76</f>
        <v>0</v>
      </c>
    </row>
    <row r="77" spans="1:6" x14ac:dyDescent="0.2">
      <c r="A77" s="75"/>
      <c r="B77" s="9"/>
      <c r="C77" s="13" t="s">
        <v>76</v>
      </c>
      <c r="D77" s="255">
        <f>'Algorithm Ref Tables'!C33</f>
        <v>49.292166666666667</v>
      </c>
      <c r="E77" s="255">
        <f>'Algorithm Ref Tables'!D33</f>
        <v>49.292166666666667</v>
      </c>
      <c r="F77" s="115"/>
    </row>
    <row r="78" spans="1:6" x14ac:dyDescent="0.2">
      <c r="A78" s="75"/>
      <c r="B78" s="118"/>
      <c r="C78" s="184" t="s">
        <v>548</v>
      </c>
      <c r="D78" s="255">
        <f>'Algorithm Ref Tables'!C43</f>
        <v>49.660649166666666</v>
      </c>
      <c r="E78" s="255">
        <f>'Algorithm Ref Tables'!D43</f>
        <v>49.660649166666666</v>
      </c>
      <c r="F78" s="115"/>
    </row>
    <row r="79" spans="1:6" ht="19" customHeight="1" x14ac:dyDescent="0.2">
      <c r="A79" s="75"/>
      <c r="B79" s="9" t="s">
        <v>77</v>
      </c>
      <c r="C79" s="260" t="s">
        <v>489</v>
      </c>
      <c r="D79" s="295">
        <f>'Algorithm Ref Tables'!U198</f>
        <v>118470</v>
      </c>
      <c r="E79" s="295">
        <f>'Algorithm Ref Tables'!V198</f>
        <v>118470</v>
      </c>
      <c r="F79" s="304">
        <f>D79-E79</f>
        <v>0</v>
      </c>
    </row>
    <row r="80" spans="1:6" x14ac:dyDescent="0.2">
      <c r="A80" s="75"/>
      <c r="B80" s="10"/>
      <c r="C80" s="132" t="s">
        <v>78</v>
      </c>
      <c r="D80" s="295">
        <f>'Algorithm Ref Tables'!U199</f>
        <v>232726.58000000002</v>
      </c>
      <c r="E80" s="295">
        <f>'Algorithm Ref Tables'!V199</f>
        <v>232726.58000000002</v>
      </c>
      <c r="F80" s="304">
        <f t="shared" ref="F80:F81" si="1">D80-E80</f>
        <v>0</v>
      </c>
    </row>
    <row r="81" spans="1:9" ht="16" customHeight="1" x14ac:dyDescent="0.2">
      <c r="A81" s="75"/>
      <c r="B81" s="118"/>
      <c r="C81" s="132" t="s">
        <v>490</v>
      </c>
      <c r="D81" s="295">
        <f>'Algorithm Ref Tables'!U200</f>
        <v>26400</v>
      </c>
      <c r="E81" s="295">
        <f>'Algorithm Ref Tables'!V200</f>
        <v>26400</v>
      </c>
      <c r="F81" s="304">
        <f t="shared" si="1"/>
        <v>0</v>
      </c>
    </row>
    <row r="82" spans="1:9" ht="19" x14ac:dyDescent="0.25">
      <c r="A82" s="75"/>
      <c r="B82" s="533" t="s">
        <v>505</v>
      </c>
      <c r="C82" s="294"/>
      <c r="D82" s="8"/>
      <c r="E82" s="294"/>
      <c r="F82" s="133"/>
    </row>
    <row r="83" spans="1:9" ht="18" customHeight="1" x14ac:dyDescent="0.2">
      <c r="A83" s="75"/>
      <c r="B83" s="298" t="s">
        <v>80</v>
      </c>
      <c r="C83" s="292" t="s">
        <v>463</v>
      </c>
      <c r="D83" s="275">
        <f>'Algorithm Ref Tables'!C48</f>
        <v>248533.25</v>
      </c>
      <c r="E83" s="275">
        <f>'Algorithm Ref Tables'!D48</f>
        <v>248533.25</v>
      </c>
      <c r="F83" s="291">
        <f>D83-E83</f>
        <v>0</v>
      </c>
    </row>
    <row r="84" spans="1:9" ht="16" customHeight="1" x14ac:dyDescent="0.2">
      <c r="A84" s="75"/>
      <c r="B84" s="338" t="s">
        <v>81</v>
      </c>
      <c r="C84" s="292" t="s">
        <v>614</v>
      </c>
      <c r="D84" s="599">
        <f>'Algorithm Ref Tables'!C49</f>
        <v>335986.891825</v>
      </c>
      <c r="E84" s="599">
        <f>'Algorithm Ref Tables'!D49</f>
        <v>335986.891825</v>
      </c>
      <c r="F84" s="291">
        <f>D84-E84</f>
        <v>0</v>
      </c>
      <c r="I84" s="410"/>
    </row>
    <row r="85" spans="1:9" ht="17" customHeight="1" x14ac:dyDescent="0.2">
      <c r="A85" s="75"/>
      <c r="B85" s="298" t="s">
        <v>82</v>
      </c>
      <c r="C85" s="293" t="s">
        <v>464</v>
      </c>
      <c r="D85" s="277">
        <f>IF(D47="Track 1",'Algorithm Ref Tables'!K201,'Algorithm Ref Tables'!L201)</f>
        <v>377596.58</v>
      </c>
      <c r="E85" s="277">
        <f>IF(E47="Track 1",'Algorithm Ref Tables'!N201,'Algorithm Ref Tables'!O201)</f>
        <v>377596.58</v>
      </c>
      <c r="F85" s="291">
        <f>D85-E85</f>
        <v>0</v>
      </c>
    </row>
    <row r="86" spans="1:9" x14ac:dyDescent="0.2">
      <c r="A86" s="75"/>
      <c r="B86" s="9"/>
      <c r="C86" s="296"/>
      <c r="D86" s="297"/>
      <c r="E86" s="294"/>
      <c r="F86" s="291"/>
    </row>
    <row r="87" spans="1:9" ht="15" customHeight="1" x14ac:dyDescent="0.2">
      <c r="A87" s="75"/>
      <c r="B87" s="9"/>
      <c r="C87" s="327" t="s">
        <v>465</v>
      </c>
      <c r="D87" s="277">
        <f>'Algorithm Ref Tables'!C56</f>
        <v>-41609.688175000018</v>
      </c>
      <c r="E87" s="277">
        <f>'Algorithm Ref Tables'!D56</f>
        <v>-41609.688175000018</v>
      </c>
      <c r="F87" s="127">
        <f t="shared" ref="F87:F92" si="2">D87-E87</f>
        <v>0</v>
      </c>
    </row>
    <row r="88" spans="1:9" ht="15" customHeight="1" x14ac:dyDescent="0.2">
      <c r="A88" s="75"/>
      <c r="B88" s="289"/>
      <c r="C88" s="265" t="s">
        <v>466</v>
      </c>
      <c r="D88" s="337">
        <f>'Algorithm Ref Tables'!C57</f>
        <v>-10402.422043750004</v>
      </c>
      <c r="E88" s="337">
        <f>'Algorithm Ref Tables'!D57</f>
        <v>-10402.422043750004</v>
      </c>
      <c r="F88" s="127">
        <f t="shared" si="2"/>
        <v>0</v>
      </c>
    </row>
    <row r="89" spans="1:9" ht="15" customHeight="1" x14ac:dyDescent="0.2">
      <c r="A89" s="75"/>
      <c r="B89" s="289"/>
      <c r="C89" s="379" t="s">
        <v>467</v>
      </c>
      <c r="D89" s="275">
        <f>'Algorithm Ref Tables'!C58</f>
        <v>129063.33000000002</v>
      </c>
      <c r="E89" s="275">
        <f>'Algorithm Ref Tables'!D58</f>
        <v>129063.33000000002</v>
      </c>
      <c r="F89" s="127">
        <f t="shared" si="2"/>
        <v>0</v>
      </c>
    </row>
    <row r="90" spans="1:9" ht="17" customHeight="1" x14ac:dyDescent="0.2">
      <c r="A90" s="75"/>
      <c r="B90" s="289"/>
      <c r="C90" s="265" t="s">
        <v>468</v>
      </c>
      <c r="D90" s="275">
        <f>'Algorithm Ref Tables'!C59</f>
        <v>32265.832500000004</v>
      </c>
      <c r="E90" s="275">
        <f>'Algorithm Ref Tables'!D59</f>
        <v>32265.832500000004</v>
      </c>
      <c r="F90" s="127">
        <f t="shared" si="2"/>
        <v>0</v>
      </c>
    </row>
    <row r="91" spans="1:9" x14ac:dyDescent="0.2">
      <c r="A91" s="75"/>
      <c r="B91" s="276"/>
      <c r="C91" s="339" t="s">
        <v>469</v>
      </c>
      <c r="D91" s="275">
        <f>'Algorithm Ref Tables'!C60</f>
        <v>87453.641824999999</v>
      </c>
      <c r="E91" s="275">
        <f>'Algorithm Ref Tables'!D60</f>
        <v>87453.641824999999</v>
      </c>
      <c r="F91" s="127">
        <f t="shared" si="2"/>
        <v>0</v>
      </c>
    </row>
    <row r="92" spans="1:9" x14ac:dyDescent="0.2">
      <c r="A92" s="75"/>
      <c r="B92" s="289"/>
      <c r="C92" s="340" t="s">
        <v>470</v>
      </c>
      <c r="D92" s="256">
        <f>'Algorithm Ref Tables'!C61</f>
        <v>21863.41045625</v>
      </c>
      <c r="E92" s="256">
        <f>'Algorithm Ref Tables'!D61</f>
        <v>21863.41045625</v>
      </c>
      <c r="F92" s="127">
        <f t="shared" si="2"/>
        <v>0</v>
      </c>
    </row>
    <row r="93" spans="1:9" x14ac:dyDescent="0.2">
      <c r="A93" s="145"/>
      <c r="B93" s="118"/>
      <c r="C93" s="184" t="s">
        <v>83</v>
      </c>
      <c r="D93" s="257">
        <f>'Algorithm Ref Tables'!K34</f>
        <v>0</v>
      </c>
      <c r="E93" s="257">
        <f>'Algorithm Ref Tables'!L34</f>
        <v>0</v>
      </c>
      <c r="F93" s="127">
        <f>D93-E93</f>
        <v>0</v>
      </c>
    </row>
    <row r="94" spans="1:9" hidden="1" x14ac:dyDescent="0.2">
      <c r="B94" s="134"/>
      <c r="C94" s="11"/>
      <c r="D94" s="12"/>
      <c r="E94" s="12"/>
    </row>
    <row r="95" spans="1:9" ht="21" hidden="1" x14ac:dyDescent="0.25">
      <c r="A95" s="95"/>
      <c r="B95" s="68"/>
      <c r="C95" s="68" t="s">
        <v>84</v>
      </c>
      <c r="D95" s="68"/>
      <c r="E95" s="68"/>
      <c r="F95" s="129"/>
    </row>
    <row r="96" spans="1:9" hidden="1" x14ac:dyDescent="0.2">
      <c r="A96" s="75"/>
      <c r="B96" s="133"/>
      <c r="C96" s="136"/>
      <c r="D96" s="136"/>
      <c r="E96" s="136"/>
      <c r="F96" s="115"/>
    </row>
    <row r="97" spans="1:6" hidden="1" x14ac:dyDescent="0.2">
      <c r="A97" s="75"/>
      <c r="B97" s="534" t="s">
        <v>85</v>
      </c>
      <c r="C97" s="137" t="s">
        <v>86</v>
      </c>
      <c r="D97" s="138">
        <v>0</v>
      </c>
      <c r="E97" s="138">
        <v>0</v>
      </c>
      <c r="F97" s="115"/>
    </row>
    <row r="98" spans="1:6" hidden="1" x14ac:dyDescent="0.2">
      <c r="A98" s="75"/>
      <c r="B98" s="535" t="s">
        <v>87</v>
      </c>
      <c r="C98" s="140" t="s">
        <v>88</v>
      </c>
      <c r="D98" s="218" t="s">
        <v>33</v>
      </c>
      <c r="E98" s="218" t="s">
        <v>33</v>
      </c>
      <c r="F98" s="115"/>
    </row>
    <row r="99" spans="1:6" hidden="1" x14ac:dyDescent="0.2">
      <c r="A99" s="75"/>
      <c r="B99" s="139"/>
      <c r="C99" s="140" t="s">
        <v>89</v>
      </c>
      <c r="D99" s="120" t="s">
        <v>90</v>
      </c>
      <c r="E99" s="120" t="s">
        <v>90</v>
      </c>
      <c r="F99" s="115"/>
    </row>
    <row r="100" spans="1:6" ht="24" hidden="1" customHeight="1" x14ac:dyDescent="0.2">
      <c r="A100" s="75"/>
      <c r="B100" s="133"/>
      <c r="C100" s="140" t="s">
        <v>91</v>
      </c>
      <c r="D100" s="59">
        <f>'Algorithm Ref Tables'!K72</f>
        <v>100</v>
      </c>
      <c r="E100" s="59">
        <f>'Algorithm Ref Tables'!L72</f>
        <v>100</v>
      </c>
      <c r="F100" s="115"/>
    </row>
    <row r="101" spans="1:6" hidden="1" x14ac:dyDescent="0.2">
      <c r="A101" s="75"/>
      <c r="B101" s="133"/>
      <c r="C101" s="140" t="s">
        <v>92</v>
      </c>
      <c r="D101" s="8">
        <f>'Algorithm Ref Tables'!K73</f>
        <v>325</v>
      </c>
      <c r="E101" s="8">
        <f>'Algorithm Ref Tables'!L73</f>
        <v>325</v>
      </c>
      <c r="F101" s="115"/>
    </row>
    <row r="102" spans="1:6" hidden="1" x14ac:dyDescent="0.2">
      <c r="A102" s="141"/>
      <c r="B102" s="142"/>
      <c r="C102" s="140" t="s">
        <v>93</v>
      </c>
      <c r="D102" s="8">
        <f>'Algorithm Ref Tables'!K69</f>
        <v>0</v>
      </c>
      <c r="E102" s="8">
        <f>'Algorithm Ref Tables'!L69</f>
        <v>0</v>
      </c>
      <c r="F102" s="115"/>
    </row>
    <row r="103" spans="1:6" ht="29" hidden="1" customHeight="1" x14ac:dyDescent="0.2">
      <c r="A103" s="141"/>
      <c r="B103" s="143"/>
      <c r="C103" s="60" t="s">
        <v>94</v>
      </c>
      <c r="D103" s="277">
        <f>'Algorithm Ref Tables'!K75</f>
        <v>0</v>
      </c>
      <c r="E103" s="277">
        <f>'Algorithm Ref Tables'!L75</f>
        <v>0</v>
      </c>
      <c r="F103" s="127">
        <f>D103-E103</f>
        <v>0</v>
      </c>
    </row>
    <row r="104" spans="1:6" ht="28" customHeight="1" x14ac:dyDescent="0.2">
      <c r="A104" s="144"/>
      <c r="B104" s="101"/>
      <c r="C104" s="101"/>
      <c r="D104" s="101"/>
      <c r="E104" s="101"/>
      <c r="F104" s="145"/>
    </row>
    <row r="105" spans="1:6" x14ac:dyDescent="0.2">
      <c r="A105" s="128"/>
      <c r="B105" s="128"/>
      <c r="C105" s="128"/>
      <c r="D105" s="128"/>
      <c r="E105" s="128"/>
      <c r="F105" s="128"/>
    </row>
    <row r="108" spans="1:6" x14ac:dyDescent="0.2">
      <c r="C108" s="284"/>
      <c r="D108" s="25"/>
    </row>
  </sheetData>
  <sheetProtection sheet="1" selectLockedCells="1"/>
  <dataConsolidate/>
  <mergeCells count="7">
    <mergeCell ref="C1:F1"/>
    <mergeCell ref="B2:F2"/>
    <mergeCell ref="D5:F5"/>
    <mergeCell ref="D64:E64"/>
    <mergeCell ref="D4:F4"/>
    <mergeCell ref="B3:C3"/>
    <mergeCell ref="D3:F3"/>
  </mergeCells>
  <phoneticPr fontId="15" type="noConversion"/>
  <conditionalFormatting sqref="D54:E54">
    <cfRule type="expression" dxfId="0" priority="1">
      <formula>OR(D54&lt;100%,D54&gt;100%)</formula>
    </cfRule>
  </conditionalFormatting>
  <hyperlinks>
    <hyperlink ref="B7" location="'Details and Definitions'!A3" display="Practice Derived Input Data" xr:uid="{42A05BCF-E7E4-4D4B-ABF7-97D2E5531951}"/>
    <hyperlink ref="B28" location="'Details and Definitions'!A12" display="Primary Care First Input Data" xr:uid="{B342B963-DA22-C448-A9F4-DD0065CA66CC}"/>
    <hyperlink ref="B36" location="'Details and Definitions'!A38" display="PCF Practice Additional Overhead (cf. MCR FFS)" xr:uid="{5443F2F1-ADB7-B84F-A0D3-11BDCDB5AC55}"/>
    <hyperlink ref="B65" location="'Details and Definitions'!A48" display="Modeling Outputs" xr:uid="{F14573B4-50F1-2E44-BA78-A7F38E79B8BE}"/>
    <hyperlink ref="B68" location="'Details and Definitions'!A55" display="Revenue: PCF vs. Medicare FFS vs. CPC+ Models" xr:uid="{687811F5-D1FA-AB49-9987-DC1F00D7BD4B}"/>
    <hyperlink ref="B97" location="'Details and Definitions'!A68" display="Seriously Ill Populations &amp; PCF" xr:uid="{2D2852F4-DE0B-C74B-9912-63C7F8F49519}"/>
    <hyperlink ref="B46" location="'Details and Definitions'!A40" display="CPC+ Practice Input Data" xr:uid="{6D2C4393-4532-1242-8996-D52A8E6DDA13}"/>
    <hyperlink ref="B82" location="'Details and Definitions'!A55" display="Revenue per Year" xr:uid="{EA964284-A32A-754D-A212-308E5B3FA7AD}"/>
    <hyperlink ref="C41" r:id="rId1" xr:uid="{5FC917ED-4D2E-4563-915C-253192BDED63}"/>
    <hyperlink ref="D3:F3" r:id="rId2" display=" https://www.healthteamworks.org/content/primary-care-first-support" xr:uid="{C1FB9382-AF19-4ED8-AC71-BD6795320F30}"/>
  </hyperlinks>
  <pageMargins left="0.7" right="0.7" top="0.75" bottom="0.75" header="0.3" footer="0.3"/>
  <pageSetup scale="57" orientation="portrait" r:id="rId3"/>
  <drawing r:id="rId4"/>
  <extLst>
    <ext xmlns:x14="http://schemas.microsoft.com/office/spreadsheetml/2009/9/main" uri="{CCE6A557-97BC-4b89-ADB6-D9C93CAAB3DF}">
      <x14:dataValidations xmlns:xm="http://schemas.microsoft.com/office/excel/2006/main" count="9">
        <x14:dataValidation type="list" allowBlank="1" showInputMessage="1" showErrorMessage="1" xr:uid="{97BCADAB-CA92-4244-862A-E060E9D19B19}">
          <x14:formula1>
            <xm:f>'Algorithm Ref Tables'!$M$67:$O$67</xm:f>
          </x14:formula1>
          <xm:sqref>D99:E99</xm:sqref>
        </x14:dataValidation>
        <x14:dataValidation type="list" allowBlank="1" showInputMessage="1" showErrorMessage="1" xr:uid="{57EFEB42-60DC-3D45-A96B-ADAB44B95469}">
          <x14:formula1>
            <xm:f>'Algorithm Ref Tables'!$F$19:$F$25</xm:f>
          </x14:formula1>
          <xm:sqref>D32:E32</xm:sqref>
        </x14:dataValidation>
        <x14:dataValidation type="list" allowBlank="1" showInputMessage="1" showErrorMessage="1" xr:uid="{5EDFD3D7-A38E-7849-AAD3-6D5E80EAE9A5}">
          <x14:formula1>
            <xm:f>'Algorithm Ref Tables'!$F$27:$F$34</xm:f>
          </x14:formula1>
          <xm:sqref>D33 E33</xm:sqref>
        </x14:dataValidation>
        <x14:dataValidation type="list" allowBlank="1" showInputMessage="1" showErrorMessage="1" xr:uid="{67F7DD3D-2F1D-004D-95E2-B29A97BFDDEF}">
          <x14:formula1>
            <xm:f>'Algorithm Ref Tables'!$J$87:$J$90</xm:f>
          </x14:formula1>
          <xm:sqref>D28:E28</xm:sqref>
        </x14:dataValidation>
        <x14:dataValidation type="list" allowBlank="1" showInputMessage="1" showErrorMessage="1" xr:uid="{7C38B1EE-19A5-B540-ACE2-25A67BB3E2F2}">
          <x14:formula1>
            <xm:f>'Algorithm Ref Tables'!$J$89:$J$90</xm:f>
          </x14:formula1>
          <xm:sqref>D35:E35</xm:sqref>
        </x14:dataValidation>
        <x14:dataValidation type="list" allowBlank="1" showInputMessage="1" showErrorMessage="1" xr:uid="{0C5D905F-023E-A845-93A6-E1490DD4F30D}">
          <x14:formula1>
            <xm:f>'Algorithm Ref Tables'!$Q$198:$Q$200</xm:f>
          </x14:formula1>
          <xm:sqref>D47:E47</xm:sqref>
        </x14:dataValidation>
        <x14:dataValidation type="list" allowBlank="1" showInputMessage="1" showErrorMessage="1" xr:uid="{06FD59DA-423F-5A40-9FE0-DC6EFE24D12A}">
          <x14:formula1>
            <xm:f>'Algorithm Ref Tables'!#REF!</xm:f>
          </x14:formula1>
          <xm:sqref>D98:E98</xm:sqref>
        </x14:dataValidation>
        <x14:dataValidation type="list" allowBlank="1" showInputMessage="1" showErrorMessage="1" xr:uid="{814EEB07-7DBC-454F-B845-305CC105B3EC}">
          <x14:formula1>
            <xm:f>'Algorithm Ref Tables'!$L$98:$O$98</xm:f>
          </x14:formula1>
          <xm:sqref>D30:E30</xm:sqref>
        </x14:dataValidation>
        <x14:dataValidation type="list" allowBlank="1" showInputMessage="1" showErrorMessage="1" xr:uid="{04DD5C52-B5DC-1B46-8C7B-1DD438C5A048}">
          <x14:formula1>
            <xm:f>'Algorithm Ref Tables'!$L$99:$N$99</xm:f>
          </x14:formula1>
          <xm:sqref>D31:E31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3A5E-720D-694C-9F4F-C6DEF84E5F0C}">
  <sheetPr codeName="Sheet2">
    <tabColor rgb="FF92D050"/>
  </sheetPr>
  <dimension ref="A1:AF274"/>
  <sheetViews>
    <sheetView zoomScaleNormal="100" workbookViewId="0">
      <selection activeCell="B49" sqref="B49"/>
    </sheetView>
  </sheetViews>
  <sheetFormatPr baseColWidth="10" defaultColWidth="10.83203125" defaultRowHeight="16" x14ac:dyDescent="0.2"/>
  <cols>
    <col min="1" max="1" width="3.33203125" style="58" customWidth="1"/>
    <col min="2" max="2" width="59.5" style="58" customWidth="1"/>
    <col min="3" max="3" width="16.33203125" style="58" customWidth="1"/>
    <col min="4" max="4" width="18.1640625" style="58" customWidth="1"/>
    <col min="5" max="5" width="11.6640625" style="58" customWidth="1"/>
    <col min="6" max="6" width="38.1640625" style="58" customWidth="1"/>
    <col min="7" max="7" width="10.83203125" style="58"/>
    <col min="8" max="8" width="3.6640625" style="58" customWidth="1"/>
    <col min="9" max="9" width="4" style="226" customWidth="1"/>
    <col min="10" max="10" width="46.5" style="58" customWidth="1"/>
    <col min="11" max="12" width="16" style="58" customWidth="1"/>
    <col min="13" max="13" width="15.1640625" style="58" customWidth="1"/>
    <col min="14" max="14" width="13.1640625" style="58" customWidth="1"/>
    <col min="15" max="15" width="14.83203125" style="58" customWidth="1"/>
    <col min="16" max="16" width="15.83203125" style="58" customWidth="1"/>
    <col min="17" max="17" width="10.6640625" style="58" customWidth="1"/>
    <col min="18" max="18" width="12.5" style="58" customWidth="1"/>
    <col min="19" max="19" width="10.6640625" style="58" customWidth="1"/>
    <col min="20" max="20" width="52" style="58" bestFit="1" customWidth="1"/>
    <col min="21" max="21" width="16.33203125" style="58" customWidth="1"/>
    <col min="22" max="22" width="14.83203125" style="58" customWidth="1"/>
    <col min="23" max="23" width="14.6640625" style="58" customWidth="1"/>
    <col min="24" max="24" width="12.6640625" style="58" customWidth="1"/>
    <col min="25" max="25" width="10.83203125" style="58"/>
    <col min="26" max="26" width="14.33203125" style="58" customWidth="1"/>
    <col min="27" max="16384" width="10.83203125" style="58"/>
  </cols>
  <sheetData>
    <row r="1" spans="1:31" s="30" customFormat="1" ht="28" customHeight="1" x14ac:dyDescent="0.3">
      <c r="A1" s="28"/>
      <c r="B1" s="646" t="s">
        <v>95</v>
      </c>
      <c r="C1" s="646"/>
      <c r="D1" s="646"/>
      <c r="E1" s="646"/>
      <c r="F1" s="646"/>
      <c r="G1" s="646"/>
      <c r="H1" s="29"/>
      <c r="I1" s="226"/>
      <c r="J1" s="146"/>
      <c r="K1" s="146"/>
      <c r="L1" s="146"/>
    </row>
    <row r="2" spans="1:31" s="35" customFormat="1" ht="39" customHeight="1" x14ac:dyDescent="0.3">
      <c r="A2" s="31"/>
      <c r="B2" s="86"/>
      <c r="C2" s="86"/>
      <c r="D2" s="87"/>
      <c r="E2" s="87"/>
      <c r="F2" s="87"/>
      <c r="G2" s="88"/>
      <c r="H2" s="32"/>
      <c r="I2" s="226"/>
      <c r="J2" s="147"/>
      <c r="K2" s="33"/>
      <c r="L2" s="33"/>
      <c r="M2" s="34"/>
      <c r="N2" s="34"/>
      <c r="O2" s="34"/>
      <c r="P2" s="34"/>
      <c r="Q2" s="34"/>
      <c r="R2" s="107"/>
      <c r="S2" s="107"/>
      <c r="T2" s="107"/>
      <c r="U2" s="107"/>
    </row>
    <row r="3" spans="1:31" s="152" customFormat="1" ht="52" customHeight="1" thickBot="1" x14ac:dyDescent="0.3">
      <c r="A3" s="148"/>
      <c r="B3" s="36" t="s">
        <v>96</v>
      </c>
      <c r="C3" s="251" t="s">
        <v>8</v>
      </c>
      <c r="D3" s="251" t="s">
        <v>9</v>
      </c>
      <c r="E3" s="426"/>
      <c r="F3" s="647" t="s">
        <v>97</v>
      </c>
      <c r="G3" s="648"/>
      <c r="H3" s="37"/>
      <c r="I3" s="226"/>
      <c r="J3" s="283" t="s">
        <v>98</v>
      </c>
      <c r="K3" s="649"/>
      <c r="L3" s="649"/>
      <c r="M3" s="649"/>
      <c r="N3" s="149"/>
      <c r="O3" s="149"/>
      <c r="P3" s="149"/>
      <c r="Q3" s="150"/>
      <c r="R3" s="151"/>
      <c r="S3" s="151"/>
      <c r="T3" s="151"/>
      <c r="U3" s="151"/>
    </row>
    <row r="4" spans="1:31" ht="19" customHeight="1" x14ac:dyDescent="0.2">
      <c r="A4" s="148"/>
      <c r="B4" s="247" t="s">
        <v>99</v>
      </c>
      <c r="C4" s="248"/>
      <c r="D4" s="249"/>
      <c r="E4" s="427"/>
      <c r="F4" s="441"/>
      <c r="G4" s="153"/>
      <c r="H4" s="154"/>
      <c r="M4" s="57" t="s">
        <v>100</v>
      </c>
      <c r="Q4" s="57" t="s">
        <v>100</v>
      </c>
      <c r="R4" s="43" t="s">
        <v>101</v>
      </c>
    </row>
    <row r="5" spans="1:31" ht="16" customHeight="1" x14ac:dyDescent="0.2">
      <c r="A5" s="47"/>
      <c r="B5" s="245" t="s">
        <v>102</v>
      </c>
      <c r="C5" s="246">
        <f>'PCF Revenue Calculator'!D7</f>
        <v>4</v>
      </c>
      <c r="D5" s="246">
        <f>'PCF Revenue Calculator'!E7</f>
        <v>4</v>
      </c>
      <c r="E5" s="428"/>
      <c r="F5" s="47" t="s">
        <v>110</v>
      </c>
      <c r="G5" s="38">
        <v>93</v>
      </c>
      <c r="H5" s="154"/>
      <c r="J5" s="155" t="s">
        <v>8</v>
      </c>
      <c r="K5" s="466" t="s">
        <v>103</v>
      </c>
      <c r="L5" s="81" t="s">
        <v>104</v>
      </c>
      <c r="M5" s="63" t="s">
        <v>105</v>
      </c>
      <c r="N5" s="81" t="s">
        <v>106</v>
      </c>
      <c r="O5" s="81" t="s">
        <v>107</v>
      </c>
      <c r="P5" s="81" t="s">
        <v>108</v>
      </c>
      <c r="Q5" s="63" t="s">
        <v>109</v>
      </c>
      <c r="R5" s="652" t="s">
        <v>531</v>
      </c>
      <c r="S5" s="653"/>
      <c r="T5" s="653"/>
      <c r="U5" s="653"/>
      <c r="V5" s="653"/>
      <c r="W5" s="653"/>
      <c r="X5" s="653"/>
      <c r="Y5" s="653"/>
      <c r="Z5" s="653"/>
      <c r="AA5" s="156"/>
      <c r="AB5" s="156"/>
      <c r="AC5" s="156"/>
      <c r="AD5" s="156"/>
      <c r="AE5" s="156"/>
    </row>
    <row r="6" spans="1:31" x14ac:dyDescent="0.2">
      <c r="A6" s="47"/>
      <c r="B6" s="46" t="s">
        <v>16</v>
      </c>
      <c r="C6" s="234">
        <f>'PCF Revenue Calculator'!D10</f>
        <v>550</v>
      </c>
      <c r="D6" s="234">
        <f>'PCF Revenue Calculator'!E10</f>
        <v>550</v>
      </c>
      <c r="E6" s="429"/>
      <c r="F6" s="47" t="s">
        <v>567</v>
      </c>
      <c r="G6" s="468">
        <f>'PCF Revenue Calculator'!D22</f>
        <v>40.82</v>
      </c>
      <c r="H6" s="154"/>
      <c r="J6" s="6" t="s">
        <v>605</v>
      </c>
      <c r="K6" s="598">
        <v>0</v>
      </c>
      <c r="L6" s="596"/>
      <c r="M6" s="596"/>
      <c r="N6" s="596"/>
      <c r="O6" s="596"/>
      <c r="P6" s="596"/>
      <c r="Q6" s="596"/>
      <c r="R6" s="652"/>
      <c r="S6" s="653"/>
      <c r="T6" s="653"/>
      <c r="U6" s="653"/>
      <c r="V6" s="653"/>
      <c r="W6" s="653"/>
      <c r="X6" s="653"/>
      <c r="Y6" s="653"/>
      <c r="Z6" s="653"/>
    </row>
    <row r="7" spans="1:31" x14ac:dyDescent="0.2">
      <c r="A7" s="47"/>
      <c r="B7" s="233" t="s">
        <v>18</v>
      </c>
      <c r="C7" s="234">
        <f>C6*K38</f>
        <v>550</v>
      </c>
      <c r="D7" s="234">
        <f>D6*L38</f>
        <v>550</v>
      </c>
      <c r="E7" s="429"/>
      <c r="F7" s="47" t="s">
        <v>568</v>
      </c>
      <c r="G7" s="422">
        <f>'PCF Revenue Calculator'!E22</f>
        <v>40.82</v>
      </c>
      <c r="H7" s="154"/>
      <c r="J7" s="6" t="s">
        <v>597</v>
      </c>
      <c r="K7" s="467">
        <f>Q7+M7</f>
        <v>0.16500000000000001</v>
      </c>
      <c r="L7" s="64">
        <f>C37</f>
        <v>0.13</v>
      </c>
      <c r="M7" s="65">
        <f>IF(AND(C25="Y (Yrs 2-5)",C26="Y (Yrs 2-5)"),L7,0)</f>
        <v>0.13</v>
      </c>
      <c r="N7" s="64">
        <f>C40</f>
        <v>3.5000000000000003E-2</v>
      </c>
      <c r="O7" s="64">
        <f>IF($L7=$N34,$O34,IF($L7=$N33,$O33,IF($L7=$N32,$O32,IF($L7=$N31,$O31,IF($L7=$N30,$O30,IF($L7=$N29,$O29,IF($L7=$N28,$O28)))))))</f>
        <v>7.0000000000000007E-2</v>
      </c>
      <c r="P7" s="64">
        <f>IF(N7&gt;O7,O7,N7)</f>
        <v>3.5000000000000003E-2</v>
      </c>
      <c r="Q7" s="65">
        <f>IF(AND(C25="Y (Yrs 2-5)",C26="Y (Yrs 2-5)"),P7,0)</f>
        <v>3.5000000000000003E-2</v>
      </c>
      <c r="R7" s="652"/>
      <c r="S7" s="653"/>
      <c r="T7" s="653"/>
      <c r="U7" s="653"/>
      <c r="V7" s="653"/>
      <c r="W7" s="653"/>
      <c r="X7" s="653"/>
      <c r="Y7" s="653"/>
      <c r="Z7" s="653"/>
    </row>
    <row r="8" spans="1:31" x14ac:dyDescent="0.2">
      <c r="A8" s="47"/>
      <c r="B8" s="233" t="s">
        <v>67</v>
      </c>
      <c r="C8" s="234">
        <f>C6*K81</f>
        <v>467.5</v>
      </c>
      <c r="D8" s="234">
        <f>D6*L81</f>
        <v>467.5</v>
      </c>
      <c r="E8" s="429"/>
      <c r="F8" s="47" t="s">
        <v>111</v>
      </c>
      <c r="G8" s="159">
        <v>18.600000000000001</v>
      </c>
      <c r="H8" s="154"/>
      <c r="J8" s="6" t="s">
        <v>598</v>
      </c>
      <c r="K8" s="467">
        <f>Q8+M8</f>
        <v>0</v>
      </c>
      <c r="L8" s="469">
        <f>IF(C36=F25,-0.1,0)</f>
        <v>0</v>
      </c>
      <c r="M8" s="65">
        <f>IF(AND(C25="Y (Yrs 2-5)",C26="N (Yrs 2-5)"),L8,0)</f>
        <v>0</v>
      </c>
      <c r="N8" s="64">
        <f>IF(C40&lt;4%,C40,3.5%)</f>
        <v>3.5000000000000003E-2</v>
      </c>
      <c r="O8" s="64"/>
      <c r="P8" s="64"/>
      <c r="Q8" s="65">
        <f>IF(AND(C25="Y (Yrs 2-5)",C26="N (Yrs 2-5)"),N8,0)</f>
        <v>0</v>
      </c>
      <c r="R8" s="652"/>
      <c r="S8" s="653"/>
      <c r="T8" s="653"/>
      <c r="U8" s="653"/>
      <c r="V8" s="653"/>
      <c r="W8" s="653"/>
      <c r="X8" s="653"/>
      <c r="Y8" s="653"/>
      <c r="Z8" s="653"/>
    </row>
    <row r="9" spans="1:31" ht="17" customHeight="1" x14ac:dyDescent="0.2">
      <c r="A9" s="47"/>
      <c r="B9" s="241" t="s">
        <v>69</v>
      </c>
      <c r="C9" s="234">
        <f>C7*K81</f>
        <v>467.5</v>
      </c>
      <c r="D9" s="234">
        <f>D7*L81</f>
        <v>467.5</v>
      </c>
      <c r="E9" s="429"/>
      <c r="F9" s="47" t="s">
        <v>112</v>
      </c>
      <c r="G9" s="160">
        <f>L87</f>
        <v>4.28</v>
      </c>
      <c r="H9" s="39"/>
      <c r="J9" s="6"/>
      <c r="K9" s="596"/>
      <c r="L9" s="596"/>
      <c r="M9" s="596"/>
      <c r="N9" s="596"/>
      <c r="O9" s="596"/>
      <c r="P9" s="596"/>
      <c r="Q9" s="596"/>
      <c r="R9" s="597"/>
      <c r="S9" s="157"/>
      <c r="T9" s="157"/>
      <c r="U9" s="157"/>
      <c r="V9" s="157"/>
      <c r="W9" s="157"/>
      <c r="X9" s="157"/>
      <c r="Y9" s="161"/>
    </row>
    <row r="10" spans="1:31" x14ac:dyDescent="0.2">
      <c r="A10" s="47"/>
      <c r="B10" s="263" t="s">
        <v>20</v>
      </c>
      <c r="C10" s="264">
        <f>'PCF Revenue Calculator'!D14</f>
        <v>0</v>
      </c>
      <c r="D10" s="264">
        <f>'PCF Revenue Calculator'!E14</f>
        <v>0</v>
      </c>
      <c r="E10" s="430"/>
      <c r="F10" s="163" t="s">
        <v>113</v>
      </c>
      <c r="G10" s="169">
        <v>42</v>
      </c>
      <c r="H10" s="41"/>
      <c r="J10" s="6" t="s">
        <v>599</v>
      </c>
      <c r="K10" s="467">
        <f>M10</f>
        <v>0</v>
      </c>
      <c r="L10" s="469">
        <f>IF(C36=F25,-0.1,0)</f>
        <v>0</v>
      </c>
      <c r="M10" s="65">
        <f>IF(AND(C25="N (Yr 2)",C26="Y (Yrs 2-5)"),L10,0)</f>
        <v>0</v>
      </c>
      <c r="N10" s="64"/>
      <c r="O10" s="64"/>
      <c r="P10" s="64"/>
      <c r="Q10" s="65"/>
      <c r="R10" s="92"/>
      <c r="S10" s="157"/>
      <c r="T10" s="161"/>
    </row>
    <row r="11" spans="1:31" x14ac:dyDescent="0.2">
      <c r="A11" s="47"/>
      <c r="B11" s="46" t="s">
        <v>471</v>
      </c>
      <c r="C11" s="395">
        <f>'PCF Revenue Calculator'!D15</f>
        <v>4.3</v>
      </c>
      <c r="D11" s="395">
        <f>'PCF Revenue Calculator'!E15</f>
        <v>4.3</v>
      </c>
      <c r="E11" s="431"/>
      <c r="F11" s="442"/>
      <c r="G11" s="38"/>
      <c r="H11" s="41"/>
      <c r="J11" s="6" t="s">
        <v>600</v>
      </c>
      <c r="K11" s="467">
        <f>M11</f>
        <v>0</v>
      </c>
      <c r="L11" s="469">
        <f>IF(C36=F25,-0.1,0)</f>
        <v>0</v>
      </c>
      <c r="M11" s="65">
        <f>IF(AND(C25="N (Yr 2)",C26="N (Yrs 2-5)"),L11,0)</f>
        <v>0</v>
      </c>
      <c r="N11" s="64"/>
      <c r="O11" s="64"/>
      <c r="P11" s="64"/>
      <c r="Q11" s="65"/>
      <c r="R11" s="92"/>
    </row>
    <row r="12" spans="1:31" x14ac:dyDescent="0.2">
      <c r="A12" s="47"/>
      <c r="B12" s="46" t="s">
        <v>472</v>
      </c>
      <c r="C12" s="258">
        <f>ROUND(IF(C16=1,$L87,IF(C16=2,$L88,IF(C16=3,$L89,IF(C16=4,$L90)))),1)</f>
        <v>4.3</v>
      </c>
      <c r="D12" s="258">
        <f>ROUND(IF(D16=1,$L87,IF(D16=2,$L88,IF(D16=3,$L89,IF(D16=4,$L90)))),1)</f>
        <v>4.3</v>
      </c>
      <c r="E12" s="432"/>
      <c r="F12" s="52" t="s">
        <v>114</v>
      </c>
      <c r="G12" s="165" t="s">
        <v>115</v>
      </c>
      <c r="H12" s="154"/>
      <c r="J12" s="6" t="s">
        <v>601</v>
      </c>
      <c r="K12" s="467">
        <f>M12</f>
        <v>0</v>
      </c>
      <c r="L12" s="469">
        <f>K95</f>
        <v>-0.1</v>
      </c>
      <c r="M12" s="65">
        <f>IF(C25="N (Yrs 3-5)",L12,0)</f>
        <v>0</v>
      </c>
      <c r="N12" s="64"/>
      <c r="O12" s="64"/>
      <c r="P12" s="64"/>
      <c r="Q12" s="65">
        <v>0</v>
      </c>
      <c r="R12" s="92"/>
      <c r="S12" s="157"/>
      <c r="T12" s="157"/>
      <c r="U12" s="157"/>
      <c r="V12" s="157"/>
    </row>
    <row r="13" spans="1:31" ht="18" customHeight="1" x14ac:dyDescent="0.2">
      <c r="A13" s="47"/>
      <c r="B13" s="46" t="s">
        <v>474</v>
      </c>
      <c r="C13" s="158">
        <f>'PCF Revenue Calculator'!D18</f>
        <v>0</v>
      </c>
      <c r="D13" s="158">
        <f>'PCF Revenue Calculator'!E18</f>
        <v>0</v>
      </c>
      <c r="E13" s="433"/>
      <c r="F13" s="46" t="s">
        <v>441</v>
      </c>
      <c r="G13" s="38">
        <v>28</v>
      </c>
      <c r="H13" s="42"/>
      <c r="J13" s="44" t="s">
        <v>116</v>
      </c>
      <c r="K13" s="467">
        <f>SUM(K7:K12)</f>
        <v>0.16500000000000001</v>
      </c>
      <c r="M13" s="82">
        <f>SUM(M7:M12)</f>
        <v>0.13</v>
      </c>
      <c r="O13" s="45"/>
      <c r="Q13" s="82">
        <f>SUM(Q7:Q10)</f>
        <v>3.5000000000000003E-2</v>
      </c>
      <c r="S13" s="157"/>
      <c r="T13" s="157"/>
      <c r="U13" s="157"/>
      <c r="V13" s="157"/>
    </row>
    <row r="14" spans="1:31" x14ac:dyDescent="0.2">
      <c r="A14" s="47"/>
      <c r="B14" s="184" t="s">
        <v>473</v>
      </c>
      <c r="C14" s="235">
        <f>ROUND((C11+C11*C13),1)</f>
        <v>4.3</v>
      </c>
      <c r="D14" s="235">
        <f>ROUND((D11+D11*D13),1)</f>
        <v>4.3</v>
      </c>
      <c r="E14" s="432"/>
      <c r="F14" s="46" t="s">
        <v>438</v>
      </c>
      <c r="G14" s="38">
        <v>45</v>
      </c>
      <c r="H14" s="154"/>
      <c r="J14" s="219"/>
    </row>
    <row r="15" spans="1:31" x14ac:dyDescent="0.2">
      <c r="A15" s="47"/>
      <c r="B15" s="168" t="s">
        <v>579</v>
      </c>
      <c r="C15" s="586">
        <f>'PCF Revenue Calculator'!D19</f>
        <v>1</v>
      </c>
      <c r="D15" s="586">
        <f>'PCF Revenue Calculator'!E19</f>
        <v>1</v>
      </c>
      <c r="E15" s="428"/>
      <c r="F15" s="46" t="s">
        <v>439</v>
      </c>
      <c r="G15" s="38">
        <v>100</v>
      </c>
      <c r="H15" s="39"/>
      <c r="J15" s="155" t="s">
        <v>9</v>
      </c>
      <c r="K15" s="466" t="s">
        <v>118</v>
      </c>
      <c r="L15" s="83" t="s">
        <v>104</v>
      </c>
      <c r="M15" s="63" t="s">
        <v>119</v>
      </c>
      <c r="N15" s="83" t="s">
        <v>106</v>
      </c>
      <c r="O15" s="81" t="s">
        <v>107</v>
      </c>
      <c r="P15" s="81" t="s">
        <v>108</v>
      </c>
      <c r="Q15" s="63" t="s">
        <v>109</v>
      </c>
    </row>
    <row r="16" spans="1:31" x14ac:dyDescent="0.2">
      <c r="A16" s="47"/>
      <c r="B16" s="307" t="s">
        <v>117</v>
      </c>
      <c r="C16" s="63">
        <f>'PCF Revenue Calculator'!D28</f>
        <v>1</v>
      </c>
      <c r="D16" s="63">
        <f>'PCF Revenue Calculator'!E28</f>
        <v>1</v>
      </c>
      <c r="E16" s="246"/>
      <c r="F16" s="168" t="s">
        <v>440</v>
      </c>
      <c r="G16" s="169">
        <v>175</v>
      </c>
      <c r="H16" s="39"/>
      <c r="J16" s="6" t="s">
        <v>605</v>
      </c>
      <c r="K16" s="467">
        <f>Q22+M16</f>
        <v>0</v>
      </c>
      <c r="L16" s="600"/>
      <c r="M16" s="600"/>
      <c r="N16" s="600"/>
      <c r="O16" s="600"/>
      <c r="P16" s="600"/>
      <c r="Q16" s="600"/>
    </row>
    <row r="17" spans="1:27" ht="17" thickBot="1" x14ac:dyDescent="0.25">
      <c r="A17" s="47"/>
      <c r="B17" s="46" t="s">
        <v>48</v>
      </c>
      <c r="C17" s="162" t="str">
        <f>'PCF Revenue Calculator'!D47</f>
        <v>Track 2 40%/60%</v>
      </c>
      <c r="D17" s="162" t="str">
        <f>'PCF Revenue Calculator'!E47</f>
        <v>Track 2 40%/60%</v>
      </c>
      <c r="E17" s="447"/>
      <c r="F17" s="650" t="s">
        <v>455</v>
      </c>
      <c r="G17" s="651"/>
      <c r="H17" s="39"/>
      <c r="J17" s="6" t="s">
        <v>597</v>
      </c>
      <c r="K17" s="467">
        <f>Q17+M17</f>
        <v>0.16500000000000001</v>
      </c>
      <c r="L17" s="64">
        <f>D37</f>
        <v>0.13</v>
      </c>
      <c r="M17" s="65">
        <f>IF(AND(D25="Y (Yrs 2-5)",D26="Y (Yrs 2-5)"),L17,0)</f>
        <v>0.13</v>
      </c>
      <c r="N17" s="64">
        <f>D40</f>
        <v>3.5000000000000003E-2</v>
      </c>
      <c r="O17" s="64">
        <f>IF($L17=$N34,$O34,IF($L17=$N33,$O33,IF($L17=$N32,$O32,IF($L17=$N31,$O31,IF($L17=$N30,$O30,IF($L17=$N29,$O29,IF($L17=$N28,$O28)))))))</f>
        <v>7.0000000000000007E-2</v>
      </c>
      <c r="P17" s="64">
        <f>IF(N17&gt;O17,O17,N17)</f>
        <v>3.5000000000000003E-2</v>
      </c>
      <c r="Q17" s="65">
        <f>IF(AND(D25="Y (Yrs 2-5)",D26="Y (Yrs 2-5)"),P17,0)</f>
        <v>3.5000000000000003E-2</v>
      </c>
    </row>
    <row r="18" spans="1:27" ht="19" x14ac:dyDescent="0.25">
      <c r="A18" s="47"/>
      <c r="B18" s="244" t="s">
        <v>120</v>
      </c>
      <c r="C18" s="153"/>
      <c r="D18" s="164"/>
      <c r="E18" s="445" t="s">
        <v>452</v>
      </c>
      <c r="F18" s="443" t="s">
        <v>572</v>
      </c>
      <c r="G18" s="444" t="s">
        <v>454</v>
      </c>
      <c r="H18" s="39"/>
      <c r="J18" s="6" t="s">
        <v>598</v>
      </c>
      <c r="K18" s="467">
        <f>Q18+M18</f>
        <v>0</v>
      </c>
      <c r="L18" s="469">
        <f>IF(D36=F25,-0.1,0)</f>
        <v>0</v>
      </c>
      <c r="M18" s="65">
        <f>IF(AND(D25="Y (Yrs 2-5)",D26="N (Yrs 2-5)"),L18,0)</f>
        <v>0</v>
      </c>
      <c r="N18" s="64">
        <f>IF(D40&lt;4%,D40,3.5%)</f>
        <v>3.5000000000000003E-2</v>
      </c>
      <c r="O18" s="64"/>
      <c r="P18" s="64"/>
      <c r="Q18" s="65">
        <f>IF(AND(D25="Y (Yrs 2-5)",D26="N (Yrs 2-5)"),N18,0)</f>
        <v>0</v>
      </c>
    </row>
    <row r="19" spans="1:27" x14ac:dyDescent="0.2">
      <c r="A19" s="47"/>
      <c r="B19" s="184" t="s">
        <v>121</v>
      </c>
      <c r="C19" s="255">
        <f>'PCF Revenue Calculator'!D23</f>
        <v>93</v>
      </c>
      <c r="D19" s="255">
        <f>'PCF Revenue Calculator'!E23</f>
        <v>93</v>
      </c>
      <c r="E19" s="429">
        <v>1</v>
      </c>
      <c r="F19" s="470" t="s">
        <v>446</v>
      </c>
      <c r="G19" s="173">
        <v>0.34</v>
      </c>
      <c r="H19" s="39"/>
      <c r="J19" s="6"/>
      <c r="K19" s="600"/>
      <c r="L19" s="600"/>
      <c r="M19" s="600"/>
      <c r="N19" s="600"/>
      <c r="O19" s="600"/>
      <c r="P19" s="600"/>
      <c r="Q19" s="600"/>
    </row>
    <row r="20" spans="1:27" ht="16" customHeight="1" x14ac:dyDescent="0.2">
      <c r="A20" s="47"/>
      <c r="B20" s="184" t="s">
        <v>122</v>
      </c>
      <c r="C20" s="255">
        <f>G5</f>
        <v>93</v>
      </c>
      <c r="D20" s="255">
        <f>G5</f>
        <v>93</v>
      </c>
      <c r="E20" s="429">
        <v>2</v>
      </c>
      <c r="F20" s="470" t="s">
        <v>447</v>
      </c>
      <c r="G20" s="173">
        <v>0.27</v>
      </c>
      <c r="H20" s="39"/>
      <c r="J20" s="6" t="s">
        <v>599</v>
      </c>
      <c r="K20" s="467">
        <f>M20</f>
        <v>0</v>
      </c>
      <c r="L20" s="469">
        <f>IF(D36=F25,-0.1,0)</f>
        <v>0</v>
      </c>
      <c r="M20" s="65">
        <f>IF(AND(D25="N (Yr 2)",D26="Y (Yrs 2-5)"),L20,0)</f>
        <v>0</v>
      </c>
      <c r="N20" s="64"/>
      <c r="O20" s="64"/>
      <c r="P20" s="64"/>
      <c r="Q20" s="65"/>
    </row>
    <row r="21" spans="1:27" x14ac:dyDescent="0.2">
      <c r="A21" s="47"/>
      <c r="B21" s="236" t="s">
        <v>123</v>
      </c>
      <c r="C21" s="40">
        <f>'PCF Revenue Calculator'!D26</f>
        <v>0.15</v>
      </c>
      <c r="D21" s="40">
        <f>'PCF Revenue Calculator'!E26</f>
        <v>0.15</v>
      </c>
      <c r="E21" s="439">
        <v>3</v>
      </c>
      <c r="F21" s="470" t="s">
        <v>448</v>
      </c>
      <c r="G21" s="173">
        <v>0.2</v>
      </c>
      <c r="H21" s="172"/>
      <c r="J21" s="6" t="s">
        <v>600</v>
      </c>
      <c r="K21" s="467">
        <f>M21</f>
        <v>0</v>
      </c>
      <c r="L21" s="469">
        <f>IF(D36=F25,-0.1,0)</f>
        <v>0</v>
      </c>
      <c r="M21" s="65">
        <f>IF(AND(D25="N (Yr 2)",D26="N (Yrs 2-5)"),L21,0)</f>
        <v>0</v>
      </c>
      <c r="N21" s="64"/>
      <c r="O21" s="64"/>
      <c r="P21" s="64"/>
      <c r="Q21" s="65"/>
    </row>
    <row r="22" spans="1:27" x14ac:dyDescent="0.2">
      <c r="A22" s="47"/>
      <c r="B22" s="242" t="s">
        <v>75</v>
      </c>
      <c r="C22" s="166">
        <f>C6*C21*$G10*12</f>
        <v>41580</v>
      </c>
      <c r="D22" s="166">
        <f>D6*D21*$G10*12</f>
        <v>41580</v>
      </c>
      <c r="E22" s="429">
        <v>4</v>
      </c>
      <c r="F22" s="470" t="s">
        <v>449</v>
      </c>
      <c r="G22" s="173">
        <v>0.13</v>
      </c>
      <c r="H22" s="48"/>
      <c r="J22" s="6" t="s">
        <v>601</v>
      </c>
      <c r="K22" s="467">
        <f>M22</f>
        <v>0</v>
      </c>
      <c r="L22" s="469">
        <f>K95</f>
        <v>-0.1</v>
      </c>
      <c r="M22" s="65">
        <f>IF(D25="N (Yrs 3-5)",L22,0)</f>
        <v>0</v>
      </c>
      <c r="N22" s="64"/>
      <c r="O22" s="64"/>
      <c r="P22" s="64"/>
      <c r="Q22" s="65">
        <v>0</v>
      </c>
    </row>
    <row r="23" spans="1:27" ht="14" customHeight="1" thickBot="1" x14ac:dyDescent="0.25">
      <c r="A23" s="47"/>
      <c r="B23" s="46" t="s">
        <v>124</v>
      </c>
      <c r="C23" s="262">
        <f>C19*C11/12</f>
        <v>33.324999999999996</v>
      </c>
      <c r="D23" s="262">
        <f>D19*D11/12</f>
        <v>33.324999999999996</v>
      </c>
      <c r="E23" s="440">
        <v>5</v>
      </c>
      <c r="F23" s="470" t="s">
        <v>450</v>
      </c>
      <c r="G23" s="177">
        <v>6.5000000000000002E-2</v>
      </c>
      <c r="H23" s="48"/>
      <c r="J23" s="44" t="s">
        <v>116</v>
      </c>
      <c r="K23" s="467">
        <f>SUM(K17:K22)</f>
        <v>0.16500000000000001</v>
      </c>
      <c r="M23" s="82">
        <f>SUM(M17:M22)</f>
        <v>0.13</v>
      </c>
      <c r="O23" s="45"/>
      <c r="Q23" s="82">
        <f>SUM(Q17:Q20)</f>
        <v>3.5000000000000003E-2</v>
      </c>
    </row>
    <row r="24" spans="1:27" ht="16" customHeight="1" x14ac:dyDescent="0.25">
      <c r="A24" s="47"/>
      <c r="B24" s="244" t="s">
        <v>125</v>
      </c>
      <c r="C24" s="243"/>
      <c r="D24" s="167"/>
      <c r="E24" s="429">
        <v>6</v>
      </c>
      <c r="F24" s="470" t="s">
        <v>451</v>
      </c>
      <c r="G24" s="178">
        <v>0</v>
      </c>
      <c r="H24" s="48"/>
    </row>
    <row r="25" spans="1:27" ht="15" customHeight="1" x14ac:dyDescent="0.2">
      <c r="A25" s="47"/>
      <c r="B25" s="170" t="s">
        <v>126</v>
      </c>
      <c r="C25" s="171" t="str">
        <f>'PCF Revenue Calculator'!D30</f>
        <v>Y (Yrs 2-5)</v>
      </c>
      <c r="D25" s="171" t="str">
        <f>'PCF Revenue Calculator'!E30</f>
        <v>Y (Yrs 2-5)</v>
      </c>
      <c r="E25" s="438">
        <v>7</v>
      </c>
      <c r="F25" s="471" t="s">
        <v>453</v>
      </c>
      <c r="G25" s="179">
        <v>-0.1</v>
      </c>
      <c r="H25" s="48"/>
      <c r="J25" s="43"/>
      <c r="K25" s="50" t="s">
        <v>127</v>
      </c>
      <c r="L25" s="50" t="s">
        <v>127</v>
      </c>
      <c r="O25" s="181"/>
    </row>
    <row r="26" spans="1:27" x14ac:dyDescent="0.2">
      <c r="A26" s="47"/>
      <c r="B26" s="80" t="s">
        <v>573</v>
      </c>
      <c r="C26" s="171" t="str">
        <f>'PCF Revenue Calculator'!D31</f>
        <v>Y (Yrs 2-5)</v>
      </c>
      <c r="D26" s="171" t="str">
        <f>'PCF Revenue Calculator'!E31</f>
        <v>Y (Yrs 2-5)</v>
      </c>
      <c r="E26" s="446" t="s">
        <v>456</v>
      </c>
      <c r="F26" s="443" t="s">
        <v>550</v>
      </c>
      <c r="G26" s="444" t="s">
        <v>454</v>
      </c>
      <c r="H26" s="48"/>
      <c r="J26" s="473" t="s">
        <v>128</v>
      </c>
      <c r="K26" s="51" t="s">
        <v>129</v>
      </c>
      <c r="L26" s="51" t="s">
        <v>130</v>
      </c>
      <c r="O26" s="181"/>
    </row>
    <row r="27" spans="1:27" x14ac:dyDescent="0.2">
      <c r="A27" s="47"/>
      <c r="B27" s="472" t="s">
        <v>457</v>
      </c>
      <c r="C27" s="174">
        <f>$G$6+C19*0.2</f>
        <v>59.42</v>
      </c>
      <c r="D27" s="174">
        <f>$G$7+D19*0.2</f>
        <v>59.42</v>
      </c>
      <c r="E27" s="448">
        <v>0.03</v>
      </c>
      <c r="F27" s="470" t="s">
        <v>446</v>
      </c>
      <c r="G27" s="173">
        <v>0.16</v>
      </c>
      <c r="H27" s="154"/>
      <c r="J27" s="474" t="s">
        <v>40</v>
      </c>
      <c r="K27" s="54">
        <f>'PCF Revenue Calculator'!D36</f>
        <v>0</v>
      </c>
      <c r="L27" s="54">
        <f>'PCF Revenue Calculator'!E36</f>
        <v>0</v>
      </c>
      <c r="N27" s="57" t="s">
        <v>131</v>
      </c>
      <c r="O27" s="57" t="s">
        <v>107</v>
      </c>
    </row>
    <row r="28" spans="1:27" x14ac:dyDescent="0.2">
      <c r="A28" s="47"/>
      <c r="B28" s="168" t="s">
        <v>458</v>
      </c>
      <c r="C28" s="266">
        <f>G6</f>
        <v>40.82</v>
      </c>
      <c r="D28" s="268">
        <f>G7</f>
        <v>40.82</v>
      </c>
      <c r="E28" s="448">
        <v>3.3300000000000003E-2</v>
      </c>
      <c r="F28" s="470" t="s">
        <v>447</v>
      </c>
      <c r="G28" s="173">
        <v>0.13</v>
      </c>
      <c r="H28" s="48"/>
      <c r="J28" s="474" t="s">
        <v>42</v>
      </c>
      <c r="K28" s="54">
        <f>'PCF Revenue Calculator'!D37</f>
        <v>0</v>
      </c>
      <c r="L28" s="54">
        <f>'PCF Revenue Calculator'!E37</f>
        <v>0</v>
      </c>
      <c r="N28" s="84">
        <v>-0.1</v>
      </c>
      <c r="O28" s="82">
        <v>3.5000000000000003E-2</v>
      </c>
      <c r="X28" s="43"/>
    </row>
    <row r="29" spans="1:27" x14ac:dyDescent="0.2">
      <c r="A29" s="47"/>
      <c r="B29" s="265" t="s">
        <v>459</v>
      </c>
      <c r="C29" s="174">
        <f>C27*C14/12</f>
        <v>21.292166666666667</v>
      </c>
      <c r="D29" s="174">
        <f>D27*D14/12</f>
        <v>21.292166666666667</v>
      </c>
      <c r="E29" s="448">
        <v>3.6700000000000003E-2</v>
      </c>
      <c r="F29" s="470" t="s">
        <v>448</v>
      </c>
      <c r="G29" s="173">
        <v>0.1</v>
      </c>
      <c r="H29" s="48"/>
      <c r="J29" s="474" t="s">
        <v>43</v>
      </c>
      <c r="K29" s="54">
        <f>'PCF Revenue Calculator'!D38</f>
        <v>0</v>
      </c>
      <c r="L29" s="54">
        <f>'PCF Revenue Calculator'!E38</f>
        <v>0</v>
      </c>
      <c r="N29" s="85">
        <v>0</v>
      </c>
      <c r="O29" s="82">
        <v>3.5000000000000003E-2</v>
      </c>
    </row>
    <row r="30" spans="1:27" x14ac:dyDescent="0.2">
      <c r="A30" s="47"/>
      <c r="B30" s="184" t="s">
        <v>534</v>
      </c>
      <c r="C30" s="269">
        <f>C28*C14/12</f>
        <v>14.627166666666666</v>
      </c>
      <c r="D30" s="269">
        <f>D28*D14/12</f>
        <v>14.627166666666666</v>
      </c>
      <c r="E30" s="449">
        <v>0.04</v>
      </c>
      <c r="F30" s="470" t="s">
        <v>449</v>
      </c>
      <c r="G30" s="173">
        <v>7.0000000000000007E-2</v>
      </c>
      <c r="H30" s="48"/>
      <c r="J30" s="474" t="s">
        <v>44</v>
      </c>
      <c r="K30" s="54">
        <f>'PCF Revenue Calculator'!D39</f>
        <v>0</v>
      </c>
      <c r="L30" s="54">
        <f>'PCF Revenue Calculator'!E39</f>
        <v>0</v>
      </c>
      <c r="N30" s="65">
        <v>6.5000000000000002E-2</v>
      </c>
      <c r="O30" s="65">
        <v>3.5000000000000003E-2</v>
      </c>
    </row>
    <row r="31" spans="1:27" x14ac:dyDescent="0.2">
      <c r="A31" s="47"/>
      <c r="B31" s="46" t="s">
        <v>132</v>
      </c>
      <c r="C31" s="175">
        <f>IF(C16=1,$G13,IF(C16=2,$G14,IF(C16=3,$G15,IF(C16=4,$G16))))</f>
        <v>28</v>
      </c>
      <c r="D31" s="176">
        <f>IF(D16=1,$G13,IF(D16=2,$G14,IF(D16=3,$G15,IF(D16=4,$G16))))</f>
        <v>28</v>
      </c>
      <c r="E31" s="448">
        <v>4.3299999999999998E-2</v>
      </c>
      <c r="F31" s="470" t="s">
        <v>450</v>
      </c>
      <c r="G31" s="183">
        <v>3.5000000000000003E-2</v>
      </c>
      <c r="H31" s="48"/>
      <c r="J31" s="475"/>
      <c r="K31" s="54">
        <f>'PCF Revenue Calculator'!D40</f>
        <v>0</v>
      </c>
      <c r="L31" s="54">
        <f>'PCF Revenue Calculator'!E40</f>
        <v>0</v>
      </c>
      <c r="N31" s="65">
        <v>0.13</v>
      </c>
      <c r="O31" s="65">
        <v>7.0000000000000007E-2</v>
      </c>
      <c r="Y31" s="43"/>
      <c r="Z31" s="43"/>
      <c r="AA31" s="43"/>
    </row>
    <row r="32" spans="1:27" x14ac:dyDescent="0.2">
      <c r="A32" s="47"/>
      <c r="B32" s="46" t="s">
        <v>578</v>
      </c>
      <c r="C32" s="175">
        <f>C31*C15</f>
        <v>28</v>
      </c>
      <c r="D32" s="588">
        <f>D31*D15</f>
        <v>28</v>
      </c>
      <c r="E32" s="448">
        <v>4.6699999999999998E-2</v>
      </c>
      <c r="F32" s="470" t="s">
        <v>451</v>
      </c>
      <c r="G32" s="183">
        <v>3.5000000000000003E-2</v>
      </c>
      <c r="H32" s="48"/>
      <c r="J32" s="476"/>
      <c r="K32" s="54">
        <f>'PCF Revenue Calculator'!D43</f>
        <v>0</v>
      </c>
      <c r="L32" s="54">
        <f>'PCF Revenue Calculator'!E43</f>
        <v>0</v>
      </c>
      <c r="N32" s="65">
        <v>0.2</v>
      </c>
      <c r="O32" s="65">
        <v>0.1</v>
      </c>
      <c r="P32" s="43"/>
      <c r="T32" s="43"/>
    </row>
    <row r="33" spans="1:32" ht="15" customHeight="1" x14ac:dyDescent="0.2">
      <c r="A33" s="47"/>
      <c r="B33" s="267" t="s">
        <v>133</v>
      </c>
      <c r="C33" s="278">
        <f>C29+C32</f>
        <v>49.292166666666667</v>
      </c>
      <c r="D33" s="278">
        <f>D29+D32</f>
        <v>49.292166666666667</v>
      </c>
      <c r="E33" s="450">
        <v>0.05</v>
      </c>
      <c r="F33" s="470" t="s">
        <v>453</v>
      </c>
      <c r="G33" s="185">
        <v>3.5000000000000003E-2</v>
      </c>
      <c r="H33" s="48"/>
      <c r="J33" s="477"/>
      <c r="K33" s="54">
        <f>'PCF Revenue Calculator'!D44</f>
        <v>0</v>
      </c>
      <c r="L33" s="54">
        <f>'PCF Revenue Calculator'!E44</f>
        <v>0</v>
      </c>
      <c r="N33" s="65">
        <v>0.27</v>
      </c>
      <c r="O33" s="65">
        <v>0.13</v>
      </c>
      <c r="W33" s="43"/>
    </row>
    <row r="34" spans="1:32" x14ac:dyDescent="0.2">
      <c r="A34" s="47"/>
      <c r="B34" s="184" t="s">
        <v>535</v>
      </c>
      <c r="C34" s="274">
        <f>C30+C32</f>
        <v>42.627166666666668</v>
      </c>
      <c r="D34" s="274">
        <f>D30+D32</f>
        <v>42.627166666666668</v>
      </c>
      <c r="E34" s="451" t="s">
        <v>249</v>
      </c>
      <c r="F34" s="168" t="s">
        <v>604</v>
      </c>
      <c r="G34" s="186">
        <v>0</v>
      </c>
      <c r="H34" s="48"/>
      <c r="J34" s="474" t="s">
        <v>135</v>
      </c>
      <c r="K34" s="54">
        <f>SUM(K27:K33)</f>
        <v>0</v>
      </c>
      <c r="L34" s="54">
        <f t="shared" ref="L34" si="0">SUM(L27:L33)</f>
        <v>0</v>
      </c>
      <c r="N34" s="65">
        <v>0.34</v>
      </c>
      <c r="O34" s="65">
        <v>0.16</v>
      </c>
      <c r="X34" s="43"/>
    </row>
    <row r="35" spans="1:32" ht="19" customHeight="1" x14ac:dyDescent="0.2">
      <c r="A35" s="47"/>
      <c r="B35" s="250" t="s">
        <v>134</v>
      </c>
      <c r="C35" s="153"/>
      <c r="D35" s="193"/>
      <c r="E35" s="456"/>
      <c r="F35" s="457"/>
      <c r="G35" s="458"/>
      <c r="H35" s="48"/>
      <c r="J35" s="478"/>
      <c r="L35" s="43"/>
      <c r="M35" s="43"/>
      <c r="N35" s="57"/>
      <c r="O35" s="181"/>
      <c r="P35" s="57"/>
      <c r="V35" s="43"/>
      <c r="AB35" s="43"/>
      <c r="AC35" s="43"/>
      <c r="AD35" s="43"/>
      <c r="AE35" s="43"/>
      <c r="AF35" s="43"/>
    </row>
    <row r="36" spans="1:32" s="43" customFormat="1" x14ac:dyDescent="0.2">
      <c r="A36" s="47"/>
      <c r="B36" s="170" t="s">
        <v>521</v>
      </c>
      <c r="C36" s="63" t="str">
        <f>'PCF Revenue Calculator'!D32</f>
        <v>60-69%ile</v>
      </c>
      <c r="D36" s="63" t="str">
        <f>'PCF Revenue Calculator'!E32</f>
        <v>60-69%ile</v>
      </c>
      <c r="E36" s="435"/>
      <c r="F36" s="479"/>
      <c r="G36" s="223"/>
      <c r="H36" s="222"/>
      <c r="I36" s="226"/>
      <c r="J36" s="480" t="s">
        <v>136</v>
      </c>
      <c r="K36" s="58"/>
      <c r="L36" s="58"/>
      <c r="M36" s="58"/>
      <c r="T36" s="58"/>
      <c r="U36" s="58"/>
      <c r="V36" s="58"/>
      <c r="W36" s="58"/>
      <c r="X36" s="58"/>
      <c r="Y36" s="58"/>
      <c r="Z36" s="58"/>
      <c r="AA36" s="58"/>
      <c r="AB36" s="58"/>
      <c r="AC36" s="58"/>
      <c r="AD36" s="58"/>
    </row>
    <row r="37" spans="1:32" ht="17" customHeight="1" x14ac:dyDescent="0.2">
      <c r="A37" s="47"/>
      <c r="B37" s="170" t="s">
        <v>551</v>
      </c>
      <c r="C37" s="180">
        <f>IF(C36=$F19,$G19,IF(C36=$F20,$G20,IF(C36=$F21,$G21,IF(C36=$F22,$G22,IF(C36=$F23,$G23,IF(C36=$F24,$G24,IF(C36=$F25,$G25)))))))</f>
        <v>0.13</v>
      </c>
      <c r="D37" s="180">
        <f>IF(D36=$F19,$G19,IF(D36=$F20,$G20,IF(D36=$F21,$G21,IF(D36=$F22,$G22,IF(D36=$F23,$G23,IF(D36=$F24,$G24,IF(D36=$F25,$G25)))))))</f>
        <v>0.13</v>
      </c>
      <c r="E37" s="435"/>
      <c r="F37" s="94"/>
      <c r="G37" s="223"/>
      <c r="H37" s="189"/>
      <c r="J37" s="474" t="s">
        <v>137</v>
      </c>
      <c r="K37" s="65">
        <v>0.88400000000000001</v>
      </c>
      <c r="L37" s="65">
        <v>0.88400000000000001</v>
      </c>
      <c r="W37" s="43"/>
      <c r="X37" s="43"/>
      <c r="Y37" s="43"/>
    </row>
    <row r="38" spans="1:32" x14ac:dyDescent="0.2">
      <c r="A38" s="47"/>
      <c r="B38" s="80" t="s">
        <v>574</v>
      </c>
      <c r="C38" s="180">
        <f>M13</f>
        <v>0.13</v>
      </c>
      <c r="D38" s="180">
        <f>M23</f>
        <v>0.13</v>
      </c>
      <c r="E38" s="436"/>
      <c r="F38" s="94"/>
      <c r="G38" s="223"/>
      <c r="H38" s="187"/>
      <c r="J38" s="474" t="s">
        <v>138</v>
      </c>
      <c r="K38" s="82">
        <f>'PCF Revenue Calculator'!D11</f>
        <v>1</v>
      </c>
      <c r="L38" s="82">
        <f>'PCF Revenue Calculator'!E11</f>
        <v>1</v>
      </c>
      <c r="M38" s="190"/>
      <c r="N38" s="191"/>
      <c r="P38" s="192"/>
      <c r="Q38" s="43"/>
      <c r="R38" s="43"/>
      <c r="T38" s="43"/>
    </row>
    <row r="39" spans="1:32" x14ac:dyDescent="0.2">
      <c r="A39" s="47"/>
      <c r="B39" s="170" t="s">
        <v>552</v>
      </c>
      <c r="C39" s="182" t="str">
        <f>'PCF Revenue Calculator'!D33</f>
        <v>50-59%ile</v>
      </c>
      <c r="D39" s="182" t="str">
        <f>'PCF Revenue Calculator'!E33</f>
        <v>50-59%ile</v>
      </c>
      <c r="E39" s="435"/>
      <c r="F39" s="94"/>
      <c r="G39" s="223"/>
      <c r="H39" s="187"/>
      <c r="J39" s="474" t="s">
        <v>139</v>
      </c>
      <c r="K39" s="82">
        <f>100%-K38</f>
        <v>0</v>
      </c>
      <c r="L39" s="82">
        <f t="shared" ref="L39" si="1">100%-L38</f>
        <v>0</v>
      </c>
      <c r="M39" s="190"/>
      <c r="N39" s="191"/>
      <c r="P39" s="192"/>
      <c r="W39" s="43"/>
    </row>
    <row r="40" spans="1:32" x14ac:dyDescent="0.2">
      <c r="A40" s="47"/>
      <c r="B40" s="46" t="s">
        <v>460</v>
      </c>
      <c r="C40" s="180">
        <f>IF(C39=$F27,$G27,IF(C39=$F28,$G28,IF(C39=$F29,$G29,IF(C39=$F30,$G30,IF(C39=$F31,$G31,IF(C39=$F32,$G32,IF(C39=$F33,$G33,IF(C39=F34,G34))))))))</f>
        <v>3.5000000000000003E-2</v>
      </c>
      <c r="D40" s="180">
        <f>IF(D39=$F27,$G27,IF(D39=$F28,$G28,IF(D39=$F29,$G29,IF(D39=$F30,$G30,IF(D39=$F31,$G31,IF(D39=$F32,$G32,IF(D39=$F33,$G33,IF(D39=F34,0))))))))</f>
        <v>3.5000000000000003E-2</v>
      </c>
      <c r="E40" s="435"/>
      <c r="F40" s="94"/>
      <c r="G40" s="223"/>
      <c r="H40" s="187"/>
      <c r="J40" s="477" t="s">
        <v>140</v>
      </c>
      <c r="K40" s="85">
        <f>K39*C6</f>
        <v>0</v>
      </c>
      <c r="L40" s="85">
        <f>L39*D6</f>
        <v>0</v>
      </c>
      <c r="M40" s="190"/>
      <c r="N40" s="191"/>
      <c r="P40" s="192"/>
    </row>
    <row r="41" spans="1:32" x14ac:dyDescent="0.2">
      <c r="A41" s="47"/>
      <c r="B41" s="184" t="s">
        <v>553</v>
      </c>
      <c r="C41" s="180">
        <f>Q13</f>
        <v>3.5000000000000003E-2</v>
      </c>
      <c r="D41" s="180">
        <f>Q23</f>
        <v>3.5000000000000003E-2</v>
      </c>
      <c r="E41" s="435"/>
      <c r="F41" s="94"/>
      <c r="G41" s="223"/>
      <c r="H41" s="187"/>
      <c r="J41" s="474" t="s">
        <v>141</v>
      </c>
      <c r="K41" s="481">
        <f>K40*C23*12</f>
        <v>0</v>
      </c>
      <c r="L41" s="481">
        <f>L40*D23*12</f>
        <v>0</v>
      </c>
      <c r="M41" s="190"/>
      <c r="N41" s="191"/>
      <c r="P41" s="192"/>
      <c r="Q41" s="57"/>
      <c r="V41" s="43"/>
      <c r="AB41" s="43"/>
      <c r="AC41" s="43"/>
      <c r="AD41" s="43"/>
      <c r="AE41" s="43"/>
      <c r="AF41" s="43"/>
    </row>
    <row r="42" spans="1:32" s="43" customFormat="1" ht="19" customHeight="1" x14ac:dyDescent="0.2">
      <c r="A42" s="47"/>
      <c r="B42" s="265" t="s">
        <v>72</v>
      </c>
      <c r="C42" s="270">
        <f>K13</f>
        <v>0.16500000000000001</v>
      </c>
      <c r="D42" s="270">
        <f>K23</f>
        <v>0.16500000000000001</v>
      </c>
      <c r="E42" s="94"/>
      <c r="F42" s="452"/>
      <c r="G42" s="223"/>
      <c r="H42" s="187"/>
      <c r="I42" s="226"/>
      <c r="J42" s="58"/>
      <c r="K42" s="58"/>
      <c r="L42" s="58"/>
      <c r="M42" s="58"/>
      <c r="N42" s="58"/>
      <c r="O42" s="58"/>
      <c r="P42" s="57"/>
      <c r="Q42" s="57"/>
      <c r="R42" s="58"/>
      <c r="S42" s="58"/>
      <c r="T42" s="58"/>
      <c r="V42" s="58"/>
      <c r="W42" s="58"/>
      <c r="X42" s="58"/>
      <c r="Y42" s="58"/>
      <c r="Z42" s="58"/>
      <c r="AA42" s="58"/>
      <c r="AB42" s="58"/>
      <c r="AC42" s="58"/>
      <c r="AD42" s="58"/>
      <c r="AE42" s="58"/>
      <c r="AF42" s="58"/>
    </row>
    <row r="43" spans="1:32" ht="17" x14ac:dyDescent="0.2">
      <c r="A43" s="47"/>
      <c r="B43" s="62" t="s">
        <v>536</v>
      </c>
      <c r="C43" s="261">
        <f>C34+(C34*C42)</f>
        <v>49.660649166666666</v>
      </c>
      <c r="D43" s="261">
        <f>D34+(D34*D42)</f>
        <v>49.660649166666666</v>
      </c>
      <c r="E43" s="434"/>
      <c r="F43" s="422"/>
      <c r="G43" s="223"/>
      <c r="H43" s="187"/>
      <c r="J43" s="482" t="s">
        <v>144</v>
      </c>
      <c r="K43" s="195"/>
      <c r="Q43" s="57"/>
      <c r="S43" s="43"/>
    </row>
    <row r="44" spans="1:32" ht="17" x14ac:dyDescent="0.2">
      <c r="A44" s="47"/>
      <c r="B44" s="328" t="s">
        <v>142</v>
      </c>
      <c r="C44" s="329"/>
      <c r="D44" s="329"/>
      <c r="E44" s="429"/>
      <c r="F44" s="94"/>
      <c r="G44" s="223"/>
      <c r="H44" s="187"/>
      <c r="J44" s="61" t="s">
        <v>146</v>
      </c>
      <c r="K44" s="483">
        <f>'PCF Revenue Calculator'!D34</f>
        <v>0</v>
      </c>
      <c r="L44" s="483">
        <f>'PCF Revenue Calculator'!E34</f>
        <v>0</v>
      </c>
      <c r="M44" s="58" t="s">
        <v>147</v>
      </c>
      <c r="N44" s="43"/>
      <c r="O44" s="43"/>
      <c r="P44" s="43"/>
      <c r="Q44" s="57"/>
      <c r="R44" s="43"/>
    </row>
    <row r="45" spans="1:32" ht="17" x14ac:dyDescent="0.2">
      <c r="A45" s="47"/>
      <c r="B45" s="46" t="s">
        <v>143</v>
      </c>
      <c r="C45" s="234">
        <f>C8*C11</f>
        <v>2010.25</v>
      </c>
      <c r="D45" s="234">
        <f>D8*D11</f>
        <v>2010.25</v>
      </c>
      <c r="E45" s="429"/>
      <c r="F45" s="94"/>
      <c r="G45" s="223"/>
      <c r="H45" s="187"/>
      <c r="J45" s="61" t="s">
        <v>148</v>
      </c>
      <c r="K45" s="483">
        <f>'PCF Revenue Calculator'!D35</f>
        <v>3</v>
      </c>
      <c r="L45" s="483">
        <f>'PCF Revenue Calculator'!E35</f>
        <v>3</v>
      </c>
      <c r="O45" s="58" t="s">
        <v>149</v>
      </c>
    </row>
    <row r="46" spans="1:32" ht="18" thickBot="1" x14ac:dyDescent="0.25">
      <c r="A46" s="47"/>
      <c r="B46" s="330" t="s">
        <v>145</v>
      </c>
      <c r="C46" s="331">
        <f>C9*C14</f>
        <v>2010.25</v>
      </c>
      <c r="D46" s="331">
        <f>D9*D14</f>
        <v>2010.25</v>
      </c>
      <c r="E46" s="153"/>
      <c r="F46" s="484"/>
      <c r="G46" s="189"/>
      <c r="H46" s="189"/>
      <c r="J46" s="61" t="s">
        <v>150</v>
      </c>
      <c r="K46" s="63" t="str">
        <f>IF(K45=3,$K89,IF(K45=4,$K90))</f>
        <v>1.5-&lt;2.0</v>
      </c>
      <c r="L46" s="63" t="str">
        <f>IF(L45=3,$K89,IF(L45=4,$K90))</f>
        <v>1.5-&lt;2.0</v>
      </c>
    </row>
    <row r="47" spans="1:32" ht="19" customHeight="1" x14ac:dyDescent="0.25">
      <c r="A47" s="47"/>
      <c r="B47" s="332" t="s">
        <v>484</v>
      </c>
      <c r="C47" s="333"/>
      <c r="D47" s="334"/>
      <c r="E47" s="53"/>
      <c r="F47" s="484"/>
      <c r="G47" s="189"/>
      <c r="H47" s="189"/>
      <c r="J47" s="61" t="s">
        <v>151</v>
      </c>
      <c r="K47" s="485">
        <f>IF(K45=3,$L89,IF(K45=4,$L90))</f>
        <v>5.92</v>
      </c>
      <c r="L47" s="485">
        <f>IF(L45=3,$L89,IF(L45=4,$L90))</f>
        <v>5.92</v>
      </c>
    </row>
    <row r="48" spans="1:32" ht="19" x14ac:dyDescent="0.2">
      <c r="A48" s="47"/>
      <c r="B48" s="453" t="s">
        <v>475</v>
      </c>
      <c r="C48" s="272">
        <f>C45*C19+K56+K62+K83</f>
        <v>248533.25</v>
      </c>
      <c r="D48" s="272">
        <f>D45*D19+L56+L62+L83</f>
        <v>248533.25</v>
      </c>
      <c r="E48" s="53"/>
      <c r="F48" s="484"/>
      <c r="G48" s="189"/>
      <c r="H48" s="189"/>
      <c r="J48" s="61" t="s">
        <v>152</v>
      </c>
      <c r="K48" s="54">
        <f>IF(K45=3,$M89,IF(K45=4,$M90))</f>
        <v>130.80000000000001</v>
      </c>
      <c r="L48" s="54">
        <f>IF(L45=3,$M89,IF(L45=4,$M90))</f>
        <v>130.80000000000001</v>
      </c>
    </row>
    <row r="49" spans="1:17" ht="19" x14ac:dyDescent="0.2">
      <c r="A49" s="47"/>
      <c r="B49" s="454" t="s">
        <v>476</v>
      </c>
      <c r="C49" s="272">
        <f>K108+K75+K58+K41+K83</f>
        <v>335986.891825</v>
      </c>
      <c r="D49" s="272">
        <f>L108+L75+L58+L41+L83</f>
        <v>335986.891825</v>
      </c>
      <c r="E49" s="53"/>
      <c r="F49" s="484"/>
      <c r="G49" s="189"/>
      <c r="H49" s="189"/>
      <c r="J49" s="486" t="s">
        <v>153</v>
      </c>
      <c r="K49" s="487">
        <f>C43</f>
        <v>49.660649166666666</v>
      </c>
      <c r="L49" s="487">
        <f>D43</f>
        <v>49.660649166666666</v>
      </c>
      <c r="N49" s="219"/>
      <c r="P49" s="219"/>
      <c r="Q49" s="219"/>
    </row>
    <row r="50" spans="1:17" x14ac:dyDescent="0.2">
      <c r="A50" s="153"/>
      <c r="B50" s="454" t="s">
        <v>477</v>
      </c>
      <c r="C50" s="306">
        <f>'PCF Revenue Calculator'!D85</f>
        <v>377596.58</v>
      </c>
      <c r="D50" s="306">
        <f>'PCF Revenue Calculator'!E85</f>
        <v>377596.58</v>
      </c>
      <c r="E50" s="194"/>
      <c r="F50" s="484"/>
      <c r="G50" s="189"/>
      <c r="H50" s="189"/>
      <c r="J50" s="488" t="s">
        <v>155</v>
      </c>
      <c r="K50" s="166">
        <f>K44*K49</f>
        <v>0</v>
      </c>
      <c r="L50" s="166">
        <f>L44*L49</f>
        <v>0</v>
      </c>
      <c r="N50" s="219"/>
      <c r="P50" s="219"/>
      <c r="Q50" s="219"/>
    </row>
    <row r="51" spans="1:17" x14ac:dyDescent="0.2">
      <c r="A51" s="10"/>
      <c r="B51" s="326" t="s">
        <v>478</v>
      </c>
      <c r="C51" s="273">
        <f>'PCF Revenue Calculator'!D79</f>
        <v>118470</v>
      </c>
      <c r="D51" s="273">
        <f>'PCF Revenue Calculator'!E79</f>
        <v>118470</v>
      </c>
      <c r="E51" s="243"/>
      <c r="F51" s="484"/>
      <c r="G51" s="189"/>
      <c r="H51" s="189"/>
      <c r="J51" s="478" t="s">
        <v>157</v>
      </c>
      <c r="K51" s="166">
        <f>K50*12</f>
        <v>0</v>
      </c>
      <c r="L51" s="166">
        <f>L50*12</f>
        <v>0</v>
      </c>
      <c r="N51" s="219"/>
      <c r="P51" s="219"/>
      <c r="Q51" s="219"/>
    </row>
    <row r="52" spans="1:17" x14ac:dyDescent="0.2">
      <c r="A52" s="10"/>
      <c r="B52" s="236" t="s">
        <v>154</v>
      </c>
      <c r="C52" s="591">
        <f>P138</f>
        <v>17.95</v>
      </c>
      <c r="D52" s="324">
        <f>Z138</f>
        <v>17.95</v>
      </c>
      <c r="E52" s="194"/>
      <c r="F52" s="484"/>
      <c r="G52" s="189"/>
      <c r="H52" s="189"/>
      <c r="J52" s="489" t="s">
        <v>158</v>
      </c>
      <c r="K52" s="166">
        <f>K44*C14*C19*0.2/12</f>
        <v>0</v>
      </c>
      <c r="L52" s="166">
        <f>L44*D14*D19*0.2/12</f>
        <v>0</v>
      </c>
      <c r="N52" s="219"/>
      <c r="P52" s="219"/>
      <c r="Q52" s="219"/>
    </row>
    <row r="53" spans="1:17" x14ac:dyDescent="0.2">
      <c r="A53" s="75"/>
      <c r="B53" s="236" t="s">
        <v>156</v>
      </c>
      <c r="C53" s="273">
        <f>'PCF Revenue Calculator'!D80</f>
        <v>232726.58000000002</v>
      </c>
      <c r="D53" s="273">
        <f>'PCF Revenue Calculator'!E80</f>
        <v>232726.58000000002</v>
      </c>
      <c r="E53" s="194"/>
      <c r="F53" s="53"/>
      <c r="G53" s="325"/>
      <c r="H53" s="325"/>
      <c r="J53" s="489" t="s">
        <v>160</v>
      </c>
      <c r="K53" s="54">
        <f>K44*C14*C19*0.2</f>
        <v>0</v>
      </c>
      <c r="L53" s="54">
        <f>L44*D14*D19*0.2</f>
        <v>0</v>
      </c>
      <c r="N53" s="219"/>
      <c r="P53" s="219"/>
      <c r="Q53" s="219"/>
    </row>
    <row r="54" spans="1:17" x14ac:dyDescent="0.2">
      <c r="A54" s="47"/>
      <c r="B54" s="242" t="s">
        <v>79</v>
      </c>
      <c r="C54" s="273">
        <f>'PCF Revenue Calculator'!D81</f>
        <v>26400</v>
      </c>
      <c r="D54" s="273">
        <f>'PCF Revenue Calculator'!E81</f>
        <v>26400</v>
      </c>
      <c r="E54" s="194"/>
      <c r="F54" s="194"/>
      <c r="G54" s="187"/>
      <c r="H54" s="154"/>
      <c r="J54" s="486" t="s">
        <v>161</v>
      </c>
      <c r="K54" s="487">
        <v>42</v>
      </c>
      <c r="L54" s="487">
        <v>42</v>
      </c>
      <c r="P54" s="219"/>
      <c r="Q54" s="219"/>
    </row>
    <row r="55" spans="1:17" ht="19" x14ac:dyDescent="0.25">
      <c r="A55" s="47"/>
      <c r="B55" s="335" t="s">
        <v>159</v>
      </c>
      <c r="C55" s="336"/>
      <c r="D55" s="336"/>
      <c r="E55" s="53"/>
      <c r="F55" s="194"/>
      <c r="G55" s="187"/>
      <c r="H55" s="187"/>
      <c r="J55" s="486" t="s">
        <v>162</v>
      </c>
      <c r="K55" s="54">
        <f>(K44*K47*K48/12)+(K54*K44)</f>
        <v>0</v>
      </c>
      <c r="L55" s="54">
        <f>(L44*L47*L48/12)+(L54*L44)</f>
        <v>0</v>
      </c>
    </row>
    <row r="56" spans="1:17" ht="19" x14ac:dyDescent="0.2">
      <c r="A56" s="47"/>
      <c r="B56" s="327" t="s">
        <v>479</v>
      </c>
      <c r="C56" s="272">
        <f>C49-C50</f>
        <v>-41609.688175000018</v>
      </c>
      <c r="D56" s="272">
        <f>D49-D50</f>
        <v>-41609.688175000018</v>
      </c>
      <c r="E56" s="53"/>
      <c r="F56" s="194"/>
      <c r="G56" s="187"/>
      <c r="H56" s="187"/>
      <c r="J56" s="486" t="s">
        <v>163</v>
      </c>
      <c r="K56" s="54">
        <f>K55*12</f>
        <v>0</v>
      </c>
      <c r="L56" s="54">
        <f>L55*12</f>
        <v>0</v>
      </c>
    </row>
    <row r="57" spans="1:17" x14ac:dyDescent="0.2">
      <c r="A57" s="47"/>
      <c r="B57" s="184" t="s">
        <v>480</v>
      </c>
      <c r="C57" s="273">
        <f>C56/C5</f>
        <v>-10402.422043750004</v>
      </c>
      <c r="D57" s="273">
        <f>D56/D5</f>
        <v>-10402.422043750004</v>
      </c>
      <c r="E57" s="53"/>
      <c r="F57" s="194"/>
      <c r="G57" s="187"/>
      <c r="H57" s="187"/>
      <c r="J57" s="486" t="s">
        <v>164</v>
      </c>
      <c r="K57" s="54">
        <f>K50+K52</f>
        <v>0</v>
      </c>
      <c r="L57" s="54">
        <f>L50+L52</f>
        <v>0</v>
      </c>
    </row>
    <row r="58" spans="1:17" ht="19" x14ac:dyDescent="0.2">
      <c r="A58" s="47"/>
      <c r="B58" s="379" t="s">
        <v>481</v>
      </c>
      <c r="C58" s="306">
        <f>C50-C48</f>
        <v>129063.33000000002</v>
      </c>
      <c r="D58" s="306">
        <f>D50-D48</f>
        <v>129063.33000000002</v>
      </c>
      <c r="E58" s="194"/>
      <c r="F58" s="194"/>
      <c r="G58" s="187"/>
      <c r="H58" s="187"/>
      <c r="J58" s="486" t="s">
        <v>165</v>
      </c>
      <c r="K58" s="166">
        <f>K51+K53</f>
        <v>0</v>
      </c>
      <c r="L58" s="166">
        <f>L51+L53</f>
        <v>0</v>
      </c>
      <c r="M58" s="219"/>
      <c r="N58" s="219"/>
    </row>
    <row r="59" spans="1:17" x14ac:dyDescent="0.2">
      <c r="A59" s="47"/>
      <c r="B59" s="184" t="s">
        <v>468</v>
      </c>
      <c r="C59" s="273">
        <f>C58/C5</f>
        <v>32265.832500000004</v>
      </c>
      <c r="D59" s="273">
        <f>D58/D5</f>
        <v>32265.832500000004</v>
      </c>
      <c r="E59" s="53"/>
      <c r="F59" s="194"/>
      <c r="G59" s="187"/>
      <c r="H59" s="187"/>
      <c r="J59" s="396" t="s">
        <v>166</v>
      </c>
      <c r="K59" s="166">
        <f>K55-K57</f>
        <v>0</v>
      </c>
      <c r="L59" s="166">
        <f t="shared" ref="L59:L60" si="2">L55-L57</f>
        <v>0</v>
      </c>
      <c r="M59" s="219"/>
      <c r="N59" s="219"/>
    </row>
    <row r="60" spans="1:17" x14ac:dyDescent="0.2">
      <c r="A60" s="47"/>
      <c r="B60" s="328" t="s">
        <v>482</v>
      </c>
      <c r="C60" s="306">
        <f>C49-C48-K34</f>
        <v>87453.641824999999</v>
      </c>
      <c r="D60" s="306">
        <f>D49-D48-L34</f>
        <v>87453.641824999999</v>
      </c>
      <c r="E60" s="194"/>
      <c r="F60" s="194"/>
      <c r="G60" s="187"/>
      <c r="H60" s="187"/>
      <c r="J60" s="396" t="s">
        <v>167</v>
      </c>
      <c r="K60" s="166">
        <f>K56-K58</f>
        <v>0</v>
      </c>
      <c r="L60" s="166">
        <f t="shared" si="2"/>
        <v>0</v>
      </c>
      <c r="M60" s="219"/>
    </row>
    <row r="61" spans="1:17" x14ac:dyDescent="0.2">
      <c r="A61" s="52"/>
      <c r="B61" s="46" t="s">
        <v>483</v>
      </c>
      <c r="C61" s="67">
        <f>C60/C5</f>
        <v>21863.41045625</v>
      </c>
      <c r="D61" s="67">
        <f>D60/D5</f>
        <v>21863.41045625</v>
      </c>
      <c r="E61" s="53"/>
      <c r="F61" s="188"/>
      <c r="G61" s="189"/>
      <c r="H61" s="189"/>
      <c r="J61" s="486"/>
      <c r="K61" s="197"/>
      <c r="L61" s="197"/>
      <c r="O61" s="219"/>
    </row>
    <row r="62" spans="1:17" x14ac:dyDescent="0.2">
      <c r="A62" s="163"/>
      <c r="B62" s="184" t="s">
        <v>83</v>
      </c>
      <c r="C62" s="54">
        <f>K34</f>
        <v>0</v>
      </c>
      <c r="D62" s="54">
        <f>L34</f>
        <v>0</v>
      </c>
      <c r="E62" s="437"/>
      <c r="F62" s="66"/>
      <c r="G62" s="193"/>
      <c r="H62" s="193"/>
      <c r="J62" s="480" t="s">
        <v>169</v>
      </c>
      <c r="K62" s="391">
        <f>C22</f>
        <v>41580</v>
      </c>
      <c r="L62" s="391">
        <f>D22</f>
        <v>41580</v>
      </c>
    </row>
    <row r="63" spans="1:17" x14ac:dyDescent="0.2">
      <c r="J63" s="486"/>
      <c r="K63" s="197"/>
      <c r="L63" s="197"/>
    </row>
    <row r="64" spans="1:17" ht="19" x14ac:dyDescent="0.25">
      <c r="A64" s="116"/>
      <c r="B64" s="380" t="s">
        <v>168</v>
      </c>
      <c r="D64" s="55"/>
      <c r="E64" s="55"/>
      <c r="F64" s="197"/>
      <c r="G64" s="191"/>
      <c r="H64" s="191"/>
      <c r="J64" s="615" t="s">
        <v>170</v>
      </c>
      <c r="K64" s="615" t="s">
        <v>171</v>
      </c>
      <c r="L64" s="616"/>
      <c r="M64" s="619"/>
      <c r="N64" s="619"/>
      <c r="O64" s="619"/>
    </row>
    <row r="65" spans="1:15" ht="19" x14ac:dyDescent="0.2">
      <c r="A65" s="116"/>
      <c r="B65" s="58" t="s">
        <v>537</v>
      </c>
      <c r="D65" s="56"/>
      <c r="E65" s="56"/>
      <c r="F65" s="56"/>
      <c r="G65" s="56"/>
      <c r="H65" s="56"/>
      <c r="J65" s="617" t="s">
        <v>86</v>
      </c>
      <c r="K65" s="619">
        <f>'PCF Revenue Calculator'!D97</f>
        <v>0</v>
      </c>
      <c r="L65" s="619">
        <f>'PCF Revenue Calculator'!E97</f>
        <v>0</v>
      </c>
      <c r="M65" s="619"/>
      <c r="N65" s="620"/>
      <c r="O65" s="619"/>
    </row>
    <row r="66" spans="1:15" ht="19" x14ac:dyDescent="0.2">
      <c r="A66" s="116"/>
      <c r="B66" s="58" t="s">
        <v>538</v>
      </c>
      <c r="D66" s="191"/>
      <c r="E66" s="191"/>
      <c r="F66" s="191"/>
      <c r="G66" s="191"/>
      <c r="H66" s="191"/>
      <c r="J66" s="621" t="s">
        <v>172</v>
      </c>
      <c r="K66" s="622" t="str">
        <f>'PCF Revenue Calculator'!D98</f>
        <v>Y</v>
      </c>
      <c r="L66" s="622" t="str">
        <f>'PCF Revenue Calculator'!E98</f>
        <v>Y</v>
      </c>
      <c r="M66" s="619" t="s">
        <v>173</v>
      </c>
      <c r="N66" s="620"/>
      <c r="O66" s="619"/>
    </row>
    <row r="67" spans="1:15" ht="19" x14ac:dyDescent="0.2">
      <c r="A67" s="116"/>
      <c r="B67" s="58" t="s">
        <v>539</v>
      </c>
      <c r="D67" s="191"/>
      <c r="E67" s="191"/>
      <c r="F67" s="197"/>
      <c r="G67" s="191"/>
      <c r="H67" s="191"/>
      <c r="J67" s="617" t="s">
        <v>174</v>
      </c>
      <c r="K67" s="622" t="str">
        <f>'PCF Revenue Calculator'!D99</f>
        <v>High</v>
      </c>
      <c r="L67" s="622" t="str">
        <f>'PCF Revenue Calculator'!E99</f>
        <v>High</v>
      </c>
      <c r="M67" s="622" t="s">
        <v>90</v>
      </c>
      <c r="N67" s="622" t="s">
        <v>175</v>
      </c>
      <c r="O67" s="622" t="s">
        <v>176</v>
      </c>
    </row>
    <row r="68" spans="1:15" ht="15" customHeight="1" x14ac:dyDescent="0.2">
      <c r="A68" s="116"/>
      <c r="B68" s="191" t="s">
        <v>540</v>
      </c>
      <c r="F68" s="197"/>
      <c r="G68" s="191"/>
      <c r="H68" s="191"/>
      <c r="J68" s="617" t="s">
        <v>177</v>
      </c>
      <c r="K68" s="616">
        <v>325</v>
      </c>
      <c r="L68" s="616">
        <v>325</v>
      </c>
      <c r="M68" s="618">
        <v>100</v>
      </c>
      <c r="N68" s="623">
        <v>50</v>
      </c>
      <c r="O68" s="618">
        <v>0</v>
      </c>
    </row>
    <row r="69" spans="1:15" x14ac:dyDescent="0.2">
      <c r="A69" s="116"/>
      <c r="F69" s="198"/>
      <c r="G69" s="191"/>
      <c r="H69" s="191"/>
      <c r="J69" s="617" t="s">
        <v>178</v>
      </c>
      <c r="K69" s="616">
        <f>K65*C27*$L90</f>
        <v>0</v>
      </c>
      <c r="L69" s="616">
        <f>L65*D27*$L90</f>
        <v>0</v>
      </c>
      <c r="M69" s="618" t="s">
        <v>179</v>
      </c>
      <c r="N69" s="619"/>
      <c r="O69" s="619"/>
    </row>
    <row r="70" spans="1:15" ht="16" customHeight="1" x14ac:dyDescent="0.2">
      <c r="A70" s="116"/>
      <c r="F70" s="191"/>
      <c r="G70" s="191"/>
      <c r="H70" s="191"/>
      <c r="J70" s="617" t="s">
        <v>180</v>
      </c>
      <c r="K70" s="616">
        <v>275</v>
      </c>
      <c r="L70" s="616">
        <v>275</v>
      </c>
      <c r="M70" s="619"/>
      <c r="N70" s="619"/>
      <c r="O70" s="619"/>
    </row>
    <row r="71" spans="1:15" x14ac:dyDescent="0.2">
      <c r="A71" s="116"/>
      <c r="F71" s="191"/>
      <c r="G71" s="191"/>
      <c r="H71" s="191"/>
      <c r="J71" s="617" t="s">
        <v>181</v>
      </c>
      <c r="K71" s="616">
        <v>225</v>
      </c>
      <c r="L71" s="616">
        <v>225</v>
      </c>
      <c r="M71" s="619"/>
      <c r="N71" s="619"/>
      <c r="O71" s="619"/>
    </row>
    <row r="72" spans="1:15" x14ac:dyDescent="0.2">
      <c r="A72" s="116"/>
      <c r="F72" s="191"/>
      <c r="G72" s="191"/>
      <c r="H72" s="191"/>
      <c r="J72" s="617" t="s">
        <v>182</v>
      </c>
      <c r="K72" s="618">
        <f>IF(K67="High",$M68,IF(K67="Satisfactory",$N68,IF(K67="Low",$O68)))</f>
        <v>100</v>
      </c>
      <c r="L72" s="618">
        <f>IF(L67="High",$M68,IF(L67="Satisfactory",$N68,IF(L67="Low",$O68)))</f>
        <v>100</v>
      </c>
      <c r="M72" s="619" t="s">
        <v>183</v>
      </c>
      <c r="N72" s="619"/>
      <c r="O72" s="619"/>
    </row>
    <row r="73" spans="1:15" x14ac:dyDescent="0.2">
      <c r="A73" s="116"/>
      <c r="B73" s="191"/>
      <c r="F73" s="195"/>
      <c r="G73" s="191"/>
      <c r="H73" s="191"/>
      <c r="J73" s="617" t="s">
        <v>92</v>
      </c>
      <c r="K73" s="618">
        <f>IF(K66="Y",K71+K72,K71)</f>
        <v>325</v>
      </c>
      <c r="L73" s="618">
        <f>IF(L66="Y",L71+L72,L71)</f>
        <v>325</v>
      </c>
      <c r="M73" s="619" t="s">
        <v>184</v>
      </c>
      <c r="N73" s="619"/>
      <c r="O73" s="619"/>
    </row>
    <row r="74" spans="1:15" x14ac:dyDescent="0.2">
      <c r="A74" s="116"/>
      <c r="B74" s="191"/>
      <c r="F74" s="195"/>
      <c r="G74" s="191"/>
      <c r="H74" s="191"/>
      <c r="J74" s="617" t="s">
        <v>185</v>
      </c>
      <c r="K74" s="616">
        <f>(K65*K68/12)+(K65*K73)+(K69/12)</f>
        <v>0</v>
      </c>
      <c r="L74" s="616">
        <f>(L65*L68/12)+(L65*L73)+(L69/12)</f>
        <v>0</v>
      </c>
      <c r="M74" s="619"/>
      <c r="N74" s="619"/>
      <c r="O74" s="619"/>
    </row>
    <row r="75" spans="1:15" x14ac:dyDescent="0.2">
      <c r="A75" s="116"/>
      <c r="B75" s="191"/>
      <c r="F75" s="195"/>
      <c r="G75" s="191"/>
      <c r="H75" s="191"/>
      <c r="J75" s="617" t="s">
        <v>94</v>
      </c>
      <c r="K75" s="616">
        <f>K74*12</f>
        <v>0</v>
      </c>
      <c r="L75" s="616">
        <f t="shared" ref="L75" si="3">L74*12</f>
        <v>0</v>
      </c>
      <c r="M75" s="616"/>
      <c r="N75" s="616"/>
      <c r="O75" s="616"/>
    </row>
    <row r="76" spans="1:15" x14ac:dyDescent="0.2">
      <c r="A76" s="116"/>
      <c r="B76" s="191"/>
      <c r="C76" s="191"/>
      <c r="D76" s="191"/>
      <c r="E76" s="191"/>
      <c r="F76" s="195"/>
      <c r="G76" s="191"/>
      <c r="H76" s="191"/>
      <c r="J76" s="486"/>
      <c r="K76" s="197"/>
      <c r="L76" s="197"/>
    </row>
    <row r="77" spans="1:15" x14ac:dyDescent="0.2">
      <c r="A77" s="199"/>
      <c r="B77" s="191"/>
      <c r="C77" s="191"/>
      <c r="D77" s="191"/>
      <c r="E77" s="191"/>
      <c r="F77" s="195"/>
      <c r="G77" s="191"/>
      <c r="H77" s="191"/>
      <c r="J77" s="491" t="s">
        <v>186</v>
      </c>
      <c r="K77" s="492" t="s">
        <v>129</v>
      </c>
      <c r="L77" s="492" t="s">
        <v>130</v>
      </c>
    </row>
    <row r="78" spans="1:15" x14ac:dyDescent="0.2">
      <c r="A78" s="196"/>
      <c r="B78" s="191"/>
      <c r="C78" s="191"/>
      <c r="D78" s="191"/>
      <c r="E78" s="191"/>
      <c r="F78" s="195"/>
      <c r="G78" s="191"/>
      <c r="H78" s="191"/>
      <c r="J78" s="490" t="s">
        <v>187</v>
      </c>
      <c r="K78" s="493">
        <f>C6*C14</f>
        <v>2365</v>
      </c>
      <c r="L78" s="493">
        <f>D6*D14</f>
        <v>2365</v>
      </c>
    </row>
    <row r="79" spans="1:15" x14ac:dyDescent="0.2">
      <c r="A79" s="196"/>
      <c r="B79" s="191"/>
      <c r="C79" s="191"/>
      <c r="D79" s="191"/>
      <c r="E79" s="191"/>
      <c r="F79" s="195"/>
      <c r="G79" s="191"/>
      <c r="H79" s="191"/>
      <c r="J79" s="490" t="s">
        <v>188</v>
      </c>
      <c r="K79" s="84">
        <f>'PCF Revenue Calculator'!D13</f>
        <v>0.15</v>
      </c>
      <c r="L79" s="84">
        <f>'PCF Revenue Calculator'!E13</f>
        <v>0.15</v>
      </c>
      <c r="M79" s="58" t="s">
        <v>189</v>
      </c>
    </row>
    <row r="80" spans="1:15" x14ac:dyDescent="0.2">
      <c r="A80" s="196"/>
      <c r="B80" s="191"/>
      <c r="C80" s="198"/>
      <c r="D80" s="198"/>
      <c r="E80" s="198"/>
      <c r="F80" s="195"/>
      <c r="G80" s="191"/>
      <c r="H80" s="191"/>
      <c r="J80" s="490" t="s">
        <v>190</v>
      </c>
      <c r="K80" s="408">
        <f>K78-(K79*K78)</f>
        <v>2010.25</v>
      </c>
      <c r="L80" s="408">
        <f t="shared" ref="L80" si="4">L78-(L79*L78)</f>
        <v>2010.25</v>
      </c>
    </row>
    <row r="81" spans="1:24" x14ac:dyDescent="0.2">
      <c r="A81" s="196"/>
      <c r="B81" s="191"/>
      <c r="C81" s="191"/>
      <c r="D81" s="191"/>
      <c r="E81" s="191"/>
      <c r="F81" s="195"/>
      <c r="G81" s="191"/>
      <c r="H81" s="191"/>
      <c r="J81" s="490" t="s">
        <v>191</v>
      </c>
      <c r="K81" s="40">
        <f>100%-K79</f>
        <v>0.85</v>
      </c>
      <c r="L81" s="40">
        <f t="shared" ref="L81" si="5">100%-L79</f>
        <v>0.85</v>
      </c>
      <c r="M81" s="58" t="s">
        <v>192</v>
      </c>
    </row>
    <row r="82" spans="1:24" x14ac:dyDescent="0.2">
      <c r="A82" s="196"/>
      <c r="B82" s="191"/>
      <c r="C82" s="191"/>
      <c r="D82" s="191"/>
      <c r="E82" s="191"/>
      <c r="F82" s="195"/>
      <c r="G82" s="191"/>
      <c r="H82" s="191"/>
      <c r="J82" s="490"/>
      <c r="K82" s="612"/>
      <c r="L82" s="612"/>
    </row>
    <row r="83" spans="1:24" x14ac:dyDescent="0.2">
      <c r="A83" s="196"/>
      <c r="B83" s="191"/>
      <c r="C83" s="191"/>
      <c r="D83" s="191"/>
      <c r="E83" s="191"/>
      <c r="F83" s="195"/>
      <c r="G83" s="191"/>
      <c r="H83" s="191"/>
      <c r="J83" s="624" t="s">
        <v>610</v>
      </c>
      <c r="K83" s="625">
        <f>'PCF Revenue Calculator'!D27</f>
        <v>20000</v>
      </c>
      <c r="L83" s="625">
        <f>'PCF Revenue Calculator'!E27</f>
        <v>20000</v>
      </c>
    </row>
    <row r="84" spans="1:24" x14ac:dyDescent="0.2">
      <c r="A84" s="196"/>
      <c r="B84" s="191"/>
      <c r="C84" s="191"/>
      <c r="D84" s="191"/>
      <c r="E84" s="191"/>
      <c r="F84" s="195"/>
      <c r="G84" s="191"/>
      <c r="H84" s="191"/>
    </row>
    <row r="85" spans="1:24" x14ac:dyDescent="0.2">
      <c r="A85" s="196"/>
      <c r="B85" s="191"/>
      <c r="C85" s="191"/>
      <c r="D85" s="191"/>
      <c r="E85" s="191"/>
      <c r="F85" s="195"/>
      <c r="G85" s="191"/>
      <c r="H85" s="191"/>
      <c r="J85" s="480" t="s">
        <v>193</v>
      </c>
      <c r="T85" s="43" t="s">
        <v>194</v>
      </c>
      <c r="V85" s="57" t="s">
        <v>195</v>
      </c>
      <c r="W85" s="57" t="s">
        <v>196</v>
      </c>
      <c r="X85" s="57" t="s">
        <v>197</v>
      </c>
    </row>
    <row r="86" spans="1:24" x14ac:dyDescent="0.2">
      <c r="A86" s="196"/>
      <c r="B86" s="191"/>
      <c r="C86" s="191"/>
      <c r="D86" s="191"/>
      <c r="E86" s="191"/>
      <c r="G86" s="191"/>
      <c r="H86" s="191"/>
      <c r="J86" s="494" t="s">
        <v>198</v>
      </c>
      <c r="K86" s="201" t="s">
        <v>150</v>
      </c>
      <c r="L86" s="201" t="s">
        <v>199</v>
      </c>
      <c r="M86" s="201" t="s">
        <v>200</v>
      </c>
      <c r="N86" s="201" t="s">
        <v>201</v>
      </c>
      <c r="P86" s="202" t="s">
        <v>202</v>
      </c>
      <c r="Q86" s="57" t="s">
        <v>203</v>
      </c>
      <c r="R86" s="57" t="s">
        <v>200</v>
      </c>
      <c r="S86" s="58" t="s">
        <v>149</v>
      </c>
      <c r="T86" s="203" t="s">
        <v>204</v>
      </c>
      <c r="U86" s="203" t="s">
        <v>115</v>
      </c>
      <c r="V86" s="203" t="s">
        <v>205</v>
      </c>
      <c r="W86" s="203" t="s">
        <v>206</v>
      </c>
      <c r="X86" s="203" t="s">
        <v>207</v>
      </c>
    </row>
    <row r="87" spans="1:24" x14ac:dyDescent="0.2">
      <c r="A87" s="196"/>
      <c r="B87" s="191"/>
      <c r="C87" s="191"/>
      <c r="D87" s="191"/>
      <c r="E87" s="191"/>
      <c r="F87" s="195"/>
      <c r="G87" s="191"/>
      <c r="H87" s="191"/>
      <c r="J87" s="495">
        <v>1</v>
      </c>
      <c r="K87" s="62" t="s">
        <v>208</v>
      </c>
      <c r="L87" s="496">
        <v>4.28</v>
      </c>
      <c r="M87" s="166">
        <f>P87+Q87</f>
        <v>54</v>
      </c>
      <c r="N87" s="85">
        <v>99212</v>
      </c>
      <c r="P87" s="54">
        <v>45</v>
      </c>
      <c r="Q87" s="204">
        <f>P87*0.2</f>
        <v>9</v>
      </c>
      <c r="R87" s="166">
        <f>P87+Q87</f>
        <v>54</v>
      </c>
      <c r="T87" s="478" t="s">
        <v>208</v>
      </c>
      <c r="U87" s="205">
        <v>28</v>
      </c>
      <c r="V87" s="205">
        <v>21</v>
      </c>
      <c r="W87" s="200">
        <f>U87+V87</f>
        <v>49</v>
      </c>
      <c r="X87" s="206">
        <f>V87*12/58.82</f>
        <v>4.2842570554233257</v>
      </c>
    </row>
    <row r="88" spans="1:24" x14ac:dyDescent="0.2">
      <c r="A88" s="196"/>
      <c r="B88" s="191"/>
      <c r="C88" s="191"/>
      <c r="D88" s="191"/>
      <c r="E88" s="191"/>
      <c r="F88" s="195"/>
      <c r="G88" s="191"/>
      <c r="H88" s="191"/>
      <c r="J88" s="495">
        <v>2</v>
      </c>
      <c r="K88" s="62" t="s">
        <v>435</v>
      </c>
      <c r="L88" s="496">
        <v>5.3</v>
      </c>
      <c r="M88" s="166">
        <f>P88+Q88</f>
        <v>88.8</v>
      </c>
      <c r="N88" s="85">
        <v>99213</v>
      </c>
      <c r="P88" s="54">
        <v>74</v>
      </c>
      <c r="Q88" s="204">
        <f>P88*0.2</f>
        <v>14.8</v>
      </c>
      <c r="R88" s="166">
        <f t="shared" ref="R88:R90" si="6">P88+Q88</f>
        <v>88.8</v>
      </c>
      <c r="T88" s="478" t="s">
        <v>209</v>
      </c>
      <c r="U88" s="205">
        <v>45</v>
      </c>
      <c r="V88" s="205">
        <v>26</v>
      </c>
      <c r="W88" s="200">
        <f t="shared" ref="W88:W90" si="7">U88+V88</f>
        <v>71</v>
      </c>
      <c r="X88" s="206">
        <f>V88*12/58.82</f>
        <v>5.3043182590955453</v>
      </c>
    </row>
    <row r="89" spans="1:24" x14ac:dyDescent="0.2">
      <c r="A89" s="196"/>
      <c r="B89" s="191"/>
      <c r="C89" s="191"/>
      <c r="D89" s="191"/>
      <c r="E89" s="191"/>
      <c r="F89" s="191"/>
      <c r="G89" s="191"/>
      <c r="H89" s="191"/>
      <c r="J89" s="495">
        <v>3</v>
      </c>
      <c r="K89" s="62" t="s">
        <v>436</v>
      </c>
      <c r="L89" s="496">
        <v>5.92</v>
      </c>
      <c r="M89" s="166">
        <f>P89+Q89</f>
        <v>130.80000000000001</v>
      </c>
      <c r="N89" s="85">
        <v>99214</v>
      </c>
      <c r="P89" s="54">
        <v>109</v>
      </c>
      <c r="Q89" s="204">
        <f>P89*0.2</f>
        <v>21.8</v>
      </c>
      <c r="R89" s="166">
        <f t="shared" si="6"/>
        <v>130.80000000000001</v>
      </c>
      <c r="T89" s="478" t="s">
        <v>210</v>
      </c>
      <c r="U89" s="205">
        <v>100</v>
      </c>
      <c r="V89" s="205">
        <v>29</v>
      </c>
      <c r="W89" s="200">
        <f t="shared" si="7"/>
        <v>129</v>
      </c>
      <c r="X89" s="206">
        <f>V89*12/58.82</f>
        <v>5.9163549812988778</v>
      </c>
    </row>
    <row r="90" spans="1:24" x14ac:dyDescent="0.2">
      <c r="A90" s="196"/>
      <c r="B90" s="191"/>
      <c r="C90" s="191"/>
      <c r="D90" s="191"/>
      <c r="E90" s="191"/>
      <c r="F90" s="191"/>
      <c r="G90" s="191"/>
      <c r="H90" s="191"/>
      <c r="J90" s="495">
        <v>4</v>
      </c>
      <c r="K90" s="62" t="s">
        <v>437</v>
      </c>
      <c r="L90" s="496">
        <v>7.548</v>
      </c>
      <c r="M90" s="166">
        <f>P90+Q90</f>
        <v>177.6</v>
      </c>
      <c r="N90" s="85">
        <v>99215</v>
      </c>
      <c r="P90" s="54">
        <v>148</v>
      </c>
      <c r="Q90" s="204">
        <f>P90*0.2</f>
        <v>29.6</v>
      </c>
      <c r="R90" s="166">
        <f t="shared" si="6"/>
        <v>177.6</v>
      </c>
      <c r="T90" s="478" t="s">
        <v>211</v>
      </c>
      <c r="U90" s="205">
        <v>175</v>
      </c>
      <c r="V90" s="205">
        <v>37</v>
      </c>
      <c r="W90" s="200">
        <f t="shared" si="7"/>
        <v>212</v>
      </c>
      <c r="X90" s="206">
        <f>V90*12/58.82</f>
        <v>7.5484529071744308</v>
      </c>
    </row>
    <row r="91" spans="1:24" x14ac:dyDescent="0.2">
      <c r="A91" s="196"/>
      <c r="B91" s="191"/>
      <c r="C91" s="191"/>
      <c r="D91" s="191"/>
      <c r="E91" s="191"/>
      <c r="F91" s="191"/>
      <c r="G91" s="191"/>
      <c r="H91" s="191"/>
      <c r="J91" s="495"/>
      <c r="L91" s="58" t="s">
        <v>212</v>
      </c>
      <c r="U91" s="58" t="s">
        <v>213</v>
      </c>
    </row>
    <row r="92" spans="1:24" x14ac:dyDescent="0.2">
      <c r="A92" s="196"/>
      <c r="B92" s="191"/>
      <c r="C92" s="191"/>
      <c r="D92" s="191"/>
      <c r="E92" s="191"/>
      <c r="F92" s="191"/>
      <c r="G92" s="191"/>
      <c r="H92" s="191"/>
      <c r="J92" s="495"/>
      <c r="K92" s="478"/>
      <c r="L92" s="497"/>
      <c r="U92" s="207" t="s">
        <v>214</v>
      </c>
      <c r="X92" s="93">
        <f>40.82+18</f>
        <v>58.82</v>
      </c>
    </row>
    <row r="93" spans="1:24" x14ac:dyDescent="0.2">
      <c r="B93" s="191"/>
      <c r="C93" s="191"/>
      <c r="D93" s="191"/>
      <c r="E93" s="191"/>
      <c r="F93" s="191"/>
      <c r="G93" s="191"/>
      <c r="J93" s="498" t="s">
        <v>215</v>
      </c>
      <c r="K93" s="43" t="s">
        <v>532</v>
      </c>
    </row>
    <row r="94" spans="1:24" x14ac:dyDescent="0.2">
      <c r="C94" s="191"/>
      <c r="D94" s="191"/>
      <c r="E94" s="191"/>
      <c r="F94" s="191"/>
      <c r="J94" s="58" t="s">
        <v>575</v>
      </c>
      <c r="K94" s="40">
        <v>0</v>
      </c>
      <c r="U94" s="219"/>
    </row>
    <row r="95" spans="1:24" x14ac:dyDescent="0.2">
      <c r="J95" s="58" t="s">
        <v>576</v>
      </c>
      <c r="K95" s="65">
        <v>-0.1</v>
      </c>
    </row>
    <row r="97" spans="10:17" x14ac:dyDescent="0.2">
      <c r="L97" s="499"/>
      <c r="M97" s="191"/>
    </row>
    <row r="98" spans="10:17" x14ac:dyDescent="0.2">
      <c r="J98" s="498" t="s">
        <v>216</v>
      </c>
      <c r="K98" s="602" t="s">
        <v>593</v>
      </c>
      <c r="L98" s="604" t="s">
        <v>592</v>
      </c>
      <c r="M98" s="604" t="s">
        <v>595</v>
      </c>
      <c r="N98" s="605" t="s">
        <v>603</v>
      </c>
      <c r="O98" s="605" t="s">
        <v>602</v>
      </c>
      <c r="P98" s="191"/>
      <c r="Q98" s="191"/>
    </row>
    <row r="99" spans="10:17" x14ac:dyDescent="0.2">
      <c r="K99" s="603" t="s">
        <v>594</v>
      </c>
      <c r="L99" s="606" t="s">
        <v>592</v>
      </c>
      <c r="M99" s="606" t="s">
        <v>595</v>
      </c>
      <c r="N99" s="605" t="s">
        <v>596</v>
      </c>
      <c r="O99" s="607"/>
      <c r="P99" s="191"/>
      <c r="Q99" s="191"/>
    </row>
    <row r="101" spans="10:17" x14ac:dyDescent="0.2">
      <c r="J101" s="500" t="s">
        <v>217</v>
      </c>
    </row>
    <row r="102" spans="10:17" x14ac:dyDescent="0.2">
      <c r="J102" s="191" t="s">
        <v>218</v>
      </c>
      <c r="K102" s="501">
        <f>C32+C30</f>
        <v>42.627166666666668</v>
      </c>
      <c r="L102" s="501">
        <f>D32+D30</f>
        <v>42.627166666666668</v>
      </c>
    </row>
    <row r="103" spans="10:17" x14ac:dyDescent="0.2">
      <c r="J103" s="191" t="s">
        <v>219</v>
      </c>
      <c r="K103" s="255">
        <f>K102+K102*C42</f>
        <v>49.660649166666666</v>
      </c>
      <c r="L103" s="255">
        <f>L102+L102*D42</f>
        <v>49.660649166666666</v>
      </c>
    </row>
    <row r="104" spans="10:17" x14ac:dyDescent="0.2">
      <c r="J104" s="191" t="s">
        <v>220</v>
      </c>
      <c r="K104" s="166">
        <f>K103*C9*12</f>
        <v>278596.24182499998</v>
      </c>
      <c r="L104" s="166">
        <f>L103*D9*12</f>
        <v>278596.24182499998</v>
      </c>
    </row>
    <row r="105" spans="10:17" x14ac:dyDescent="0.2">
      <c r="J105" s="191" t="s">
        <v>221</v>
      </c>
      <c r="K105" s="54">
        <f>C19*0.2*C46</f>
        <v>37390.65</v>
      </c>
      <c r="L105" s="54">
        <f>D19*0.2*D46</f>
        <v>37390.65</v>
      </c>
    </row>
    <row r="106" spans="10:17" x14ac:dyDescent="0.2">
      <c r="J106" s="58" t="s">
        <v>222</v>
      </c>
      <c r="K106" s="40">
        <f>'PCF Revenue Calculator'!D14</f>
        <v>0</v>
      </c>
      <c r="L106" s="40">
        <f>'PCF Revenue Calculator'!E14</f>
        <v>0</v>
      </c>
    </row>
    <row r="107" spans="10:17" x14ac:dyDescent="0.2">
      <c r="J107" s="191" t="s">
        <v>223</v>
      </c>
      <c r="K107" s="54">
        <f>K105-(K105*K106)</f>
        <v>37390.65</v>
      </c>
      <c r="L107" s="54">
        <f>L105-(L105*L106)</f>
        <v>37390.65</v>
      </c>
    </row>
    <row r="108" spans="10:17" x14ac:dyDescent="0.2">
      <c r="J108" s="191" t="s">
        <v>224</v>
      </c>
      <c r="K108" s="166">
        <f>K104+K107</f>
        <v>315986.891825</v>
      </c>
      <c r="L108" s="166">
        <f>L104+L107</f>
        <v>315986.891825</v>
      </c>
    </row>
    <row r="110" spans="10:17" x14ac:dyDescent="0.2">
      <c r="J110" s="386" t="s">
        <v>225</v>
      </c>
    </row>
    <row r="111" spans="10:17" x14ac:dyDescent="0.2">
      <c r="J111" s="284" t="s">
        <v>226</v>
      </c>
      <c r="K111" s="408">
        <f>C9*C14</f>
        <v>2010.25</v>
      </c>
      <c r="L111" s="408">
        <f>D9*D14</f>
        <v>2010.25</v>
      </c>
    </row>
    <row r="112" spans="10:17" x14ac:dyDescent="0.2">
      <c r="J112" s="284" t="s">
        <v>227</v>
      </c>
      <c r="K112" s="408">
        <f>K111*(100%-C10)</f>
        <v>2010.25</v>
      </c>
      <c r="L112" s="408">
        <f>L111*(100%-D10)</f>
        <v>2010.25</v>
      </c>
    </row>
    <row r="113" spans="10:25" x14ac:dyDescent="0.2">
      <c r="J113" s="284" t="s">
        <v>228</v>
      </c>
      <c r="K113" s="408">
        <f>K111*C10</f>
        <v>0</v>
      </c>
      <c r="L113" s="408">
        <f>L111*D10</f>
        <v>0</v>
      </c>
    </row>
    <row r="114" spans="10:25" x14ac:dyDescent="0.2">
      <c r="J114" s="284" t="s">
        <v>564</v>
      </c>
      <c r="K114" s="54">
        <f>K111*C28</f>
        <v>82058.404999999999</v>
      </c>
      <c r="L114" s="54">
        <f>L111*D28</f>
        <v>82058.404999999999</v>
      </c>
    </row>
    <row r="115" spans="10:25" x14ac:dyDescent="0.2">
      <c r="J115" s="284" t="s">
        <v>563</v>
      </c>
      <c r="K115" s="54">
        <f>K114+(K114*C42)</f>
        <v>95598.041824999993</v>
      </c>
      <c r="L115" s="54">
        <f>L114+(L114*D42)</f>
        <v>95598.041824999993</v>
      </c>
    </row>
    <row r="116" spans="10:25" x14ac:dyDescent="0.2">
      <c r="J116" s="486" t="s">
        <v>541</v>
      </c>
      <c r="K116" s="54">
        <f>K107</f>
        <v>37390.65</v>
      </c>
      <c r="L116" s="54">
        <f>L107</f>
        <v>37390.65</v>
      </c>
    </row>
    <row r="117" spans="10:25" x14ac:dyDescent="0.2">
      <c r="J117" s="280" t="s">
        <v>562</v>
      </c>
      <c r="K117" s="281">
        <f>K116+K115</f>
        <v>132988.69182499999</v>
      </c>
      <c r="L117" s="281">
        <f>L116+L115</f>
        <v>132988.69182499999</v>
      </c>
    </row>
    <row r="118" spans="10:25" x14ac:dyDescent="0.2">
      <c r="J118" s="284" t="s">
        <v>229</v>
      </c>
      <c r="K118" s="408">
        <f>C9</f>
        <v>467.5</v>
      </c>
      <c r="L118" s="408">
        <f>D9</f>
        <v>467.5</v>
      </c>
    </row>
    <row r="119" spans="10:25" x14ac:dyDescent="0.2">
      <c r="J119" s="284" t="s">
        <v>230</v>
      </c>
      <c r="K119" s="166">
        <f>K118*C32*12</f>
        <v>157080</v>
      </c>
      <c r="L119" s="166">
        <f>L118*D32*12</f>
        <v>157080</v>
      </c>
    </row>
    <row r="120" spans="10:25" x14ac:dyDescent="0.2">
      <c r="J120" s="280" t="s">
        <v>231</v>
      </c>
      <c r="K120" s="282">
        <f>K119+(K119*C42)</f>
        <v>182998.2</v>
      </c>
      <c r="L120" s="282">
        <f>L119+(L119*D42)</f>
        <v>182998.2</v>
      </c>
    </row>
    <row r="121" spans="10:25" x14ac:dyDescent="0.2">
      <c r="J121" s="284" t="s">
        <v>232</v>
      </c>
      <c r="K121" s="166">
        <f>K120+K117</f>
        <v>315986.891825</v>
      </c>
      <c r="L121" s="166">
        <f>L120+L117</f>
        <v>315986.891825</v>
      </c>
    </row>
    <row r="122" spans="10:25" x14ac:dyDescent="0.2">
      <c r="J122" s="280" t="s">
        <v>233</v>
      </c>
      <c r="K122" s="272">
        <f>K121+K75+K58+K41</f>
        <v>315986.891825</v>
      </c>
      <c r="L122" s="272">
        <f>L121+L75+L58+L41</f>
        <v>315986.891825</v>
      </c>
    </row>
    <row r="123" spans="10:25" x14ac:dyDescent="0.2">
      <c r="J123" s="308"/>
      <c r="K123" s="309"/>
      <c r="L123" s="309"/>
    </row>
    <row r="124" spans="10:25" ht="19" x14ac:dyDescent="0.25">
      <c r="J124" s="376" t="s">
        <v>234</v>
      </c>
      <c r="K124" s="377"/>
      <c r="L124" s="377"/>
      <c r="M124" s="378"/>
      <c r="N124" s="378"/>
      <c r="O124" s="378"/>
      <c r="P124" s="378"/>
      <c r="Q124" s="378"/>
      <c r="R124" s="378"/>
      <c r="S124" s="378"/>
      <c r="T124" s="378"/>
      <c r="U124" s="378"/>
      <c r="V124" s="378"/>
      <c r="W124" s="378"/>
      <c r="X124" s="378"/>
      <c r="Y124" s="378"/>
    </row>
    <row r="126" spans="10:25" x14ac:dyDescent="0.2">
      <c r="J126" s="310" t="s">
        <v>48</v>
      </c>
      <c r="K126" s="342">
        <v>1</v>
      </c>
      <c r="L126" s="6"/>
      <c r="M126" s="6"/>
      <c r="N126" s="6"/>
      <c r="O126" s="6"/>
      <c r="P126" s="6"/>
    </row>
    <row r="127" spans="10:25" x14ac:dyDescent="0.2">
      <c r="J127" s="6"/>
      <c r="K127" s="342">
        <v>2</v>
      </c>
      <c r="L127" s="6"/>
      <c r="M127" s="6"/>
      <c r="N127" s="6"/>
      <c r="O127" s="6"/>
      <c r="P127" s="6"/>
    </row>
    <row r="128" spans="10:25" x14ac:dyDescent="0.2">
      <c r="J128" s="6"/>
      <c r="K128" s="311"/>
      <c r="L128" s="6"/>
      <c r="M128" s="6"/>
      <c r="N128" s="6"/>
      <c r="O128" s="6"/>
      <c r="P128" s="6"/>
      <c r="Q128" s="6"/>
      <c r="R128" s="6"/>
    </row>
    <row r="129" spans="10:28" x14ac:dyDescent="0.2">
      <c r="J129" s="310" t="s">
        <v>49</v>
      </c>
      <c r="K129" s="6"/>
      <c r="L129" s="6"/>
      <c r="M129" s="6"/>
      <c r="N129" s="6"/>
      <c r="O129" s="6"/>
      <c r="P129" s="6"/>
      <c r="Q129" s="6"/>
      <c r="R129" s="6"/>
      <c r="T129" s="321" t="s">
        <v>49</v>
      </c>
      <c r="U129" s="322"/>
    </row>
    <row r="130" spans="10:28" x14ac:dyDescent="0.2">
      <c r="J130" s="502" t="s">
        <v>129</v>
      </c>
      <c r="K130" s="6"/>
      <c r="L130" s="6"/>
      <c r="M130" s="6"/>
      <c r="N130" s="6"/>
      <c r="O130" s="6"/>
      <c r="P130" s="6"/>
      <c r="Q130" s="6"/>
      <c r="R130" s="6"/>
      <c r="T130" s="320" t="s">
        <v>130</v>
      </c>
      <c r="U130" s="6"/>
      <c r="V130" s="6"/>
      <c r="W130" s="6"/>
      <c r="X130" s="6"/>
      <c r="Y130" s="6"/>
      <c r="Z130" s="6"/>
    </row>
    <row r="131" spans="10:28" ht="39" customHeight="1" x14ac:dyDescent="0.2">
      <c r="J131" s="609" t="s">
        <v>235</v>
      </c>
      <c r="K131" s="608" t="s">
        <v>236</v>
      </c>
      <c r="L131" s="608" t="s">
        <v>237</v>
      </c>
      <c r="M131" s="608" t="s">
        <v>238</v>
      </c>
      <c r="N131" s="608" t="s">
        <v>239</v>
      </c>
      <c r="O131" s="608" t="s">
        <v>240</v>
      </c>
      <c r="P131" s="6"/>
      <c r="Q131" s="6"/>
      <c r="R131" s="6"/>
      <c r="T131" s="318" t="s">
        <v>235</v>
      </c>
      <c r="U131" s="608" t="s">
        <v>236</v>
      </c>
      <c r="V131" s="608" t="s">
        <v>237</v>
      </c>
      <c r="W131" s="608" t="s">
        <v>238</v>
      </c>
      <c r="X131" s="608" t="s">
        <v>239</v>
      </c>
      <c r="Y131" s="608" t="s">
        <v>240</v>
      </c>
      <c r="Z131" s="6"/>
    </row>
    <row r="132" spans="10:28" ht="34" customHeight="1" x14ac:dyDescent="0.2">
      <c r="J132" s="503" t="s">
        <v>241</v>
      </c>
      <c r="K132" s="503" t="s">
        <v>242</v>
      </c>
      <c r="L132" s="504">
        <v>6</v>
      </c>
      <c r="M132" s="504">
        <v>9</v>
      </c>
      <c r="N132" s="313">
        <f>L132*'PCF Revenue Calculator'!D49*'PCF Revenue Calculator'!D$48</f>
        <v>825</v>
      </c>
      <c r="O132" s="313">
        <f>M132*'PCF Revenue Calculator'!D49*'PCF Revenue Calculator'!D$48</f>
        <v>1237.5</v>
      </c>
      <c r="P132" s="410"/>
      <c r="Q132" s="25"/>
      <c r="R132" s="6"/>
      <c r="T132" s="503" t="s">
        <v>241</v>
      </c>
      <c r="U132" s="503" t="s">
        <v>242</v>
      </c>
      <c r="V132" s="504">
        <v>6</v>
      </c>
      <c r="W132" s="504">
        <v>9</v>
      </c>
      <c r="X132" s="313">
        <f>V132*'PCF Revenue Calculator'!E49*'PCF Revenue Calculator'!E$48</f>
        <v>825</v>
      </c>
      <c r="Y132" s="313">
        <f>W132*'PCF Revenue Calculator'!E49*'PCF Revenue Calculator'!E$48</f>
        <v>1237.5</v>
      </c>
      <c r="Z132" s="6"/>
    </row>
    <row r="133" spans="10:28" ht="46" customHeight="1" x14ac:dyDescent="0.2">
      <c r="J133" s="503" t="s">
        <v>243</v>
      </c>
      <c r="K133" s="503" t="s">
        <v>244</v>
      </c>
      <c r="L133" s="504">
        <v>8</v>
      </c>
      <c r="M133" s="504">
        <v>11</v>
      </c>
      <c r="N133" s="313">
        <f>L133*'PCF Revenue Calculator'!D50*'PCF Revenue Calculator'!D$48</f>
        <v>2200</v>
      </c>
      <c r="O133" s="313">
        <f>M133*'PCF Revenue Calculator'!D50*'PCF Revenue Calculator'!D$48</f>
        <v>3025</v>
      </c>
      <c r="P133" s="410"/>
      <c r="Q133" s="25"/>
      <c r="R133" s="6"/>
      <c r="T133" s="503" t="s">
        <v>243</v>
      </c>
      <c r="U133" s="503" t="s">
        <v>244</v>
      </c>
      <c r="V133" s="504">
        <v>8</v>
      </c>
      <c r="W133" s="504">
        <v>11</v>
      </c>
      <c r="X133" s="313">
        <f>V133*'PCF Revenue Calculator'!E50*'PCF Revenue Calculator'!E$48</f>
        <v>2200</v>
      </c>
      <c r="Y133" s="313">
        <f>W133*'PCF Revenue Calculator'!E50*'PCF Revenue Calculator'!E$48</f>
        <v>3025</v>
      </c>
      <c r="Z133" s="6"/>
    </row>
    <row r="134" spans="10:28" ht="45" customHeight="1" x14ac:dyDescent="0.2">
      <c r="J134" s="503" t="s">
        <v>245</v>
      </c>
      <c r="K134" s="503" t="s">
        <v>246</v>
      </c>
      <c r="L134" s="504">
        <v>16</v>
      </c>
      <c r="M134" s="504">
        <v>19</v>
      </c>
      <c r="N134" s="313">
        <f>L134*'PCF Revenue Calculator'!D51*'PCF Revenue Calculator'!D$48</f>
        <v>880</v>
      </c>
      <c r="O134" s="313">
        <f>M134*'PCF Revenue Calculator'!D51*'PCF Revenue Calculator'!D$48</f>
        <v>1045</v>
      </c>
      <c r="P134" s="410"/>
      <c r="Q134" s="25"/>
      <c r="R134" s="6"/>
      <c r="T134" s="503" t="s">
        <v>245</v>
      </c>
      <c r="U134" s="503" t="s">
        <v>246</v>
      </c>
      <c r="V134" s="504">
        <v>16</v>
      </c>
      <c r="W134" s="504">
        <v>19</v>
      </c>
      <c r="X134" s="313">
        <f>V134*'PCF Revenue Calculator'!E51*'PCF Revenue Calculator'!E$48</f>
        <v>880</v>
      </c>
      <c r="Y134" s="313">
        <f>W134*'PCF Revenue Calculator'!E51*'PCF Revenue Calculator'!E$48</f>
        <v>1045</v>
      </c>
      <c r="Z134" s="6"/>
    </row>
    <row r="135" spans="10:28" ht="35" customHeight="1" x14ac:dyDescent="0.2">
      <c r="J135" s="503" t="s">
        <v>247</v>
      </c>
      <c r="K135" s="503" t="s">
        <v>248</v>
      </c>
      <c r="L135" s="504">
        <v>30</v>
      </c>
      <c r="M135" s="505" t="s">
        <v>249</v>
      </c>
      <c r="N135" s="313">
        <f>L135*('PCF Revenue Calculator'!D52+'PCF Revenue Calculator'!D53)*'PCF Revenue Calculator'!D$48</f>
        <v>2475.0000000000005</v>
      </c>
      <c r="O135" s="313" t="s">
        <v>249</v>
      </c>
      <c r="Q135" s="25"/>
      <c r="R135" s="6"/>
      <c r="T135" s="503" t="s">
        <v>247</v>
      </c>
      <c r="U135" s="503" t="s">
        <v>248</v>
      </c>
      <c r="V135" s="504">
        <v>30</v>
      </c>
      <c r="W135" s="505" t="s">
        <v>249</v>
      </c>
      <c r="X135" s="313">
        <f>V135*('PCF Revenue Calculator'!E52+'PCF Revenue Calculator'!E53)*'PCF Revenue Calculator'!E$48</f>
        <v>2475.0000000000005</v>
      </c>
      <c r="Y135" s="313" t="s">
        <v>249</v>
      </c>
      <c r="Z135" s="6"/>
    </row>
    <row r="136" spans="10:28" ht="47" customHeight="1" x14ac:dyDescent="0.2">
      <c r="J136" s="503" t="s">
        <v>250</v>
      </c>
      <c r="K136" s="503" t="s">
        <v>251</v>
      </c>
      <c r="L136" s="505" t="s">
        <v>249</v>
      </c>
      <c r="M136" s="504">
        <v>33</v>
      </c>
      <c r="N136" s="313" t="s">
        <v>249</v>
      </c>
      <c r="O136" s="313">
        <f>M136*'PCF Revenue Calculator'!D52*'PCF Revenue Calculator'!D$48</f>
        <v>1815.0000000000002</v>
      </c>
      <c r="P136" s="285"/>
      <c r="Q136" s="25"/>
      <c r="T136" s="503" t="s">
        <v>250</v>
      </c>
      <c r="U136" s="503" t="s">
        <v>251</v>
      </c>
      <c r="V136" s="505" t="s">
        <v>249</v>
      </c>
      <c r="W136" s="504">
        <v>33</v>
      </c>
      <c r="X136" s="313" t="s">
        <v>249</v>
      </c>
      <c r="Y136" s="313">
        <f>W136*'PCF Revenue Calculator'!E52*'PCF Revenue Calculator'!E$48</f>
        <v>1815.0000000000002</v>
      </c>
      <c r="Z136" s="285"/>
    </row>
    <row r="137" spans="10:28" ht="52" customHeight="1" x14ac:dyDescent="0.2">
      <c r="J137" s="503" t="s">
        <v>252</v>
      </c>
      <c r="K137" s="503" t="s">
        <v>253</v>
      </c>
      <c r="L137" s="505" t="s">
        <v>249</v>
      </c>
      <c r="M137" s="506">
        <v>100</v>
      </c>
      <c r="N137" s="314" t="s">
        <v>249</v>
      </c>
      <c r="O137" s="313">
        <f>M137*'PCF Revenue Calculator'!D53*'PCF Revenue Calculator'!D$48</f>
        <v>2750</v>
      </c>
      <c r="P137" s="285" t="str">
        <f>'PCF Revenue Calculator'!D47</f>
        <v>Track 2 40%/60%</v>
      </c>
      <c r="Q137" s="25"/>
      <c r="T137" s="503" t="s">
        <v>252</v>
      </c>
      <c r="U137" s="503" t="s">
        <v>253</v>
      </c>
      <c r="V137" s="505" t="s">
        <v>249</v>
      </c>
      <c r="W137" s="506">
        <v>100</v>
      </c>
      <c r="X137" s="314" t="s">
        <v>249</v>
      </c>
      <c r="Y137" s="313">
        <f>W137*'PCF Revenue Calculator'!E53*'PCF Revenue Calculator'!E$48</f>
        <v>2750</v>
      </c>
      <c r="Z137" s="285" t="str">
        <f>'PCF Revenue Calculator'!E47</f>
        <v>Track 2 40%/60%</v>
      </c>
    </row>
    <row r="138" spans="10:28" x14ac:dyDescent="0.2">
      <c r="J138" s="6"/>
      <c r="K138" s="6"/>
      <c r="L138" s="6"/>
      <c r="M138" s="287" t="s">
        <v>254</v>
      </c>
      <c r="N138" s="315">
        <f>N139/'PCF Revenue Calculator'!D48</f>
        <v>11.6</v>
      </c>
      <c r="O138" s="315">
        <f>O139/'PCF Revenue Calculator'!D48</f>
        <v>17.95</v>
      </c>
      <c r="P138" s="592">
        <f>IF(P137="Track 1",N138,O138)</f>
        <v>17.95</v>
      </c>
      <c r="T138" s="6"/>
      <c r="U138" s="6"/>
      <c r="V138" s="6"/>
      <c r="W138" s="287" t="s">
        <v>254</v>
      </c>
      <c r="X138" s="315">
        <f>X139/'PCF Revenue Calculator'!E48</f>
        <v>11.6</v>
      </c>
      <c r="Y138" s="315">
        <f>Y139/'PCF Revenue Calculator'!E48</f>
        <v>17.95</v>
      </c>
      <c r="Z138" s="593">
        <f>IF(Z137="Track 1",X138,Y138)</f>
        <v>17.95</v>
      </c>
    </row>
    <row r="139" spans="10:28" x14ac:dyDescent="0.2">
      <c r="J139" s="6"/>
      <c r="K139" s="6"/>
      <c r="L139" s="6"/>
      <c r="M139" s="287" t="s">
        <v>255</v>
      </c>
      <c r="N139" s="316">
        <f>SUM(N132:N135)</f>
        <v>6380</v>
      </c>
      <c r="O139" s="316">
        <f>SUM(O132:O137)</f>
        <v>9872.5</v>
      </c>
      <c r="P139" s="6"/>
      <c r="Q139" s="6"/>
      <c r="R139" s="6"/>
      <c r="T139" s="6"/>
      <c r="U139" s="6"/>
      <c r="V139" s="6"/>
      <c r="W139" s="287" t="s">
        <v>255</v>
      </c>
      <c r="X139" s="316">
        <f>SUM(X132:X135)</f>
        <v>6380</v>
      </c>
      <c r="Y139" s="316">
        <f>SUM(Y132:Y137)</f>
        <v>9872.5</v>
      </c>
      <c r="Z139" s="6"/>
    </row>
    <row r="140" spans="10:28" x14ac:dyDescent="0.2">
      <c r="J140" s="6"/>
      <c r="K140" s="6"/>
      <c r="L140" s="6"/>
      <c r="M140" s="287" t="s">
        <v>256</v>
      </c>
      <c r="N140" s="299">
        <f>N139*12</f>
        <v>76560</v>
      </c>
      <c r="O140" s="299">
        <f>O139*12</f>
        <v>118470</v>
      </c>
      <c r="P140" s="6"/>
      <c r="Q140" s="6"/>
      <c r="R140" s="6"/>
      <c r="T140" s="6"/>
      <c r="U140" s="6"/>
      <c r="V140" s="6"/>
      <c r="W140" s="287" t="s">
        <v>256</v>
      </c>
      <c r="X140" s="299">
        <f>X139*12</f>
        <v>76560</v>
      </c>
      <c r="Y140" s="299">
        <f>Y139*12</f>
        <v>118470</v>
      </c>
      <c r="Z140" s="6"/>
    </row>
    <row r="141" spans="10:28" x14ac:dyDescent="0.2">
      <c r="J141" s="6"/>
      <c r="K141" s="6"/>
      <c r="L141" s="6"/>
      <c r="M141" s="131"/>
      <c r="N141" s="323"/>
      <c r="O141" s="323"/>
      <c r="P141" s="6"/>
      <c r="Q141" s="6"/>
      <c r="R141" s="6"/>
      <c r="T141" s="6"/>
      <c r="U141" s="6"/>
      <c r="V141" s="6"/>
      <c r="W141" s="131"/>
      <c r="X141" s="323"/>
      <c r="Y141" s="323"/>
      <c r="Z141" s="6"/>
    </row>
    <row r="142" spans="10:28" x14ac:dyDescent="0.2">
      <c r="J142" s="507" t="s">
        <v>257</v>
      </c>
      <c r="T142" s="507" t="s">
        <v>257</v>
      </c>
    </row>
    <row r="143" spans="10:28" x14ac:dyDescent="0.2">
      <c r="J143" s="81" t="s">
        <v>129</v>
      </c>
      <c r="K143" s="2"/>
      <c r="L143" s="360" t="s">
        <v>258</v>
      </c>
      <c r="M143" s="360"/>
      <c r="N143" s="311" t="s">
        <v>259</v>
      </c>
      <c r="O143" s="6"/>
      <c r="P143" s="6"/>
      <c r="Q143" s="6"/>
      <c r="R143" s="6"/>
      <c r="S143" s="128"/>
      <c r="T143" s="81" t="s">
        <v>130</v>
      </c>
      <c r="U143" s="2"/>
      <c r="V143" s="360" t="s">
        <v>258</v>
      </c>
      <c r="W143" s="360"/>
      <c r="X143" s="311" t="s">
        <v>259</v>
      </c>
      <c r="Y143" s="6"/>
      <c r="Z143" s="6"/>
      <c r="AA143" s="6"/>
      <c r="AB143" s="6"/>
    </row>
    <row r="144" spans="10:28" x14ac:dyDescent="0.2">
      <c r="J144" s="6"/>
      <c r="K144" s="311" t="s">
        <v>260</v>
      </c>
      <c r="L144" s="311" t="s">
        <v>237</v>
      </c>
      <c r="M144" s="311" t="s">
        <v>238</v>
      </c>
      <c r="N144" s="311" t="s">
        <v>261</v>
      </c>
      <c r="O144" s="6"/>
      <c r="P144" s="305"/>
      <c r="Q144" s="305"/>
      <c r="R144" s="305"/>
      <c r="S144" s="319"/>
      <c r="T144" s="6"/>
      <c r="U144" s="311" t="s">
        <v>260</v>
      </c>
      <c r="V144" s="311" t="s">
        <v>237</v>
      </c>
      <c r="W144" s="311" t="s">
        <v>238</v>
      </c>
      <c r="X144" s="311" t="s">
        <v>261</v>
      </c>
      <c r="Y144" s="6"/>
      <c r="Z144" s="305"/>
      <c r="AA144" s="305"/>
      <c r="AB144" s="305"/>
    </row>
    <row r="145" spans="1:28" x14ac:dyDescent="0.2">
      <c r="J145" s="355" t="s">
        <v>262</v>
      </c>
      <c r="K145" s="397">
        <f>IF(R146&gt;82.88%,40%,(IF(R146&gt;78.9%,K147,IF(R146=0%,0%))))</f>
        <v>0.4</v>
      </c>
      <c r="L145" s="119">
        <f>K145*1.25</f>
        <v>0.5</v>
      </c>
      <c r="M145" s="119">
        <f>K145*2</f>
        <v>0.8</v>
      </c>
      <c r="N145" s="366">
        <f>'PCF Revenue Calculator'!D57</f>
        <v>0.83</v>
      </c>
      <c r="O145" s="351" t="s">
        <v>263</v>
      </c>
      <c r="P145" s="351" t="s">
        <v>264</v>
      </c>
      <c r="Q145" s="351" t="s">
        <v>265</v>
      </c>
      <c r="R145" s="351" t="s">
        <v>266</v>
      </c>
      <c r="T145" s="355" t="s">
        <v>262</v>
      </c>
      <c r="U145" s="397">
        <f>IF(AB146&gt;82.88%,40%,(IF(AB146&gt;78.9%,U147,IF(AB146=0%,0%))))</f>
        <v>0.4</v>
      </c>
      <c r="V145" s="119">
        <f>U145*1.25</f>
        <v>0.5</v>
      </c>
      <c r="W145" s="119">
        <f>U145*2</f>
        <v>0.8</v>
      </c>
      <c r="X145" s="366">
        <f>'PCF Revenue Calculator'!E57</f>
        <v>0.83</v>
      </c>
      <c r="Y145" s="351" t="s">
        <v>263</v>
      </c>
      <c r="Z145" s="351" t="s">
        <v>264</v>
      </c>
      <c r="AA145" s="351" t="s">
        <v>265</v>
      </c>
      <c r="AB145" s="351" t="s">
        <v>266</v>
      </c>
    </row>
    <row r="146" spans="1:28" x14ac:dyDescent="0.2">
      <c r="J146" s="355"/>
      <c r="K146" s="396" t="s">
        <v>267</v>
      </c>
      <c r="L146" s="353" t="s">
        <v>268</v>
      </c>
      <c r="M146" s="347"/>
      <c r="O146" s="508">
        <v>0.78910000000000002</v>
      </c>
      <c r="P146" s="508">
        <v>0.82889999999999997</v>
      </c>
      <c r="Q146" s="508">
        <f>P146-O146</f>
        <v>3.9799999999999947E-2</v>
      </c>
      <c r="R146" s="509">
        <f>IF(N145&gt;82.88%,P146,(IF(N145&gt;78.9%,N145,(IF(N145&lt;O146,0%)))))</f>
        <v>0.82889999999999997</v>
      </c>
      <c r="T146" s="355"/>
      <c r="U146" s="396" t="s">
        <v>267</v>
      </c>
      <c r="V146" s="353" t="s">
        <v>268</v>
      </c>
      <c r="W146" s="347"/>
      <c r="Y146" s="508">
        <v>0.78910000000000002</v>
      </c>
      <c r="Z146" s="508">
        <v>0.82889999999999997</v>
      </c>
      <c r="AA146" s="508">
        <f>Z146-Y146</f>
        <v>3.9799999999999947E-2</v>
      </c>
      <c r="AB146" s="509">
        <f>IF(X145&gt;82.88%,Z146,(IF(X145&gt;78.9%,X145,(IF(X145&lt;Y146,0%)))))</f>
        <v>0.82889999999999997</v>
      </c>
    </row>
    <row r="147" spans="1:28" x14ac:dyDescent="0.2">
      <c r="J147" s="355"/>
      <c r="K147" s="510">
        <f>(((N145-O146)/Q146*50%)+50%)*0.4</f>
        <v>0.40552763819095472</v>
      </c>
      <c r="L147" s="511">
        <v>0.4</v>
      </c>
      <c r="M147" s="347"/>
      <c r="T147" s="355"/>
      <c r="U147" s="510">
        <f>(((X145-Y146)/AA146*50%)+50%)*0.4</f>
        <v>0.40552763819095472</v>
      </c>
      <c r="V147" s="511">
        <v>0.4</v>
      </c>
      <c r="W147" s="347"/>
    </row>
    <row r="148" spans="1:28" x14ac:dyDescent="0.2">
      <c r="J148" s="355" t="s">
        <v>269</v>
      </c>
      <c r="K148" s="398">
        <f>IF(R149&lt;25.88%,30%,(IF(R149&lt;60.79%,K150,(IF(R149&gt;O149,0%)))))</f>
        <v>0.3</v>
      </c>
      <c r="L148" s="119">
        <f>K148*1.25</f>
        <v>0.375</v>
      </c>
      <c r="M148" s="119">
        <f>K148*2</f>
        <v>0.6</v>
      </c>
      <c r="N148" s="367">
        <f>'PCF Revenue Calculator'!D58</f>
        <v>0.25</v>
      </c>
      <c r="O148" s="351" t="s">
        <v>263</v>
      </c>
      <c r="P148" s="351" t="s">
        <v>264</v>
      </c>
      <c r="Q148" s="351" t="s">
        <v>265</v>
      </c>
      <c r="R148" s="351" t="s">
        <v>266</v>
      </c>
      <c r="T148" s="355" t="s">
        <v>269</v>
      </c>
      <c r="U148" s="398">
        <f>IF(AB149&lt;25.88%,30%,(IF(AB149&lt;60.79%,U150,(IF(AB149&gt;Y149,0%)))))</f>
        <v>0.3</v>
      </c>
      <c r="V148" s="119">
        <f>U148*1.25</f>
        <v>0.375</v>
      </c>
      <c r="W148" s="119">
        <f>U148*2</f>
        <v>0.6</v>
      </c>
      <c r="X148" s="367">
        <f>'PCF Revenue Calculator'!E58</f>
        <v>0.25</v>
      </c>
      <c r="Y148" s="351" t="s">
        <v>263</v>
      </c>
      <c r="Z148" s="351" t="s">
        <v>264</v>
      </c>
      <c r="AA148" s="351" t="s">
        <v>265</v>
      </c>
      <c r="AB148" s="351" t="s">
        <v>266</v>
      </c>
    </row>
    <row r="149" spans="1:28" s="196" customFormat="1" x14ac:dyDescent="0.2">
      <c r="A149" s="58"/>
      <c r="B149" s="58"/>
      <c r="C149" s="58"/>
      <c r="D149" s="58"/>
      <c r="E149" s="58"/>
      <c r="F149" s="58"/>
      <c r="G149" s="58"/>
      <c r="H149" s="58"/>
      <c r="I149" s="226"/>
      <c r="J149" s="356"/>
      <c r="K149" s="396" t="s">
        <v>267</v>
      </c>
      <c r="L149" s="353" t="s">
        <v>268</v>
      </c>
      <c r="M149" s="347"/>
      <c r="O149" s="512">
        <v>0.60780000000000001</v>
      </c>
      <c r="P149" s="512">
        <v>0.25869999999999999</v>
      </c>
      <c r="Q149" s="512">
        <f>O149-P149</f>
        <v>0.34910000000000002</v>
      </c>
      <c r="R149" s="509">
        <f>IF(N148&lt;25.87%,P149,(IF(N148&lt;60.79%,N148,(IF(N148&gt;60.78%,N148)))))</f>
        <v>0.25869999999999999</v>
      </c>
      <c r="T149" s="356"/>
      <c r="U149" s="396" t="s">
        <v>267</v>
      </c>
      <c r="V149" s="353" t="s">
        <v>268</v>
      </c>
      <c r="W149" s="347"/>
      <c r="Y149" s="512">
        <v>0.60780000000000001</v>
      </c>
      <c r="Z149" s="512">
        <v>0.25869999999999999</v>
      </c>
      <c r="AA149" s="512">
        <f>Y149-Z149</f>
        <v>0.34910000000000002</v>
      </c>
      <c r="AB149" s="509">
        <f>IF(X148&lt;25.87%,Z149,(IF(X148&lt;60.79%,X148,(IF(X148&gt;60.78%,X148)))))</f>
        <v>0.25869999999999999</v>
      </c>
    </row>
    <row r="150" spans="1:28" s="196" customFormat="1" x14ac:dyDescent="0.2">
      <c r="A150" s="58"/>
      <c r="B150" s="58"/>
      <c r="C150" s="58"/>
      <c r="D150" s="58"/>
      <c r="E150" s="58"/>
      <c r="F150" s="58"/>
      <c r="G150" s="58"/>
      <c r="H150" s="58"/>
      <c r="I150" s="226"/>
      <c r="J150" s="356"/>
      <c r="K150" s="510">
        <f>(((O149-N148)/Q149*50%)+50%)*0.3</f>
        <v>0.3037381839014609</v>
      </c>
      <c r="L150" s="511">
        <v>0.3</v>
      </c>
      <c r="M150" s="513"/>
      <c r="T150" s="356"/>
      <c r="U150" s="510">
        <f>(((Y149-X148)/AA149*50%)+50%)*0.3</f>
        <v>0.3037381839014609</v>
      </c>
      <c r="V150" s="511">
        <v>0.3</v>
      </c>
      <c r="W150" s="513"/>
    </row>
    <row r="151" spans="1:28" x14ac:dyDescent="0.2">
      <c r="J151" s="355" t="s">
        <v>270</v>
      </c>
      <c r="K151" s="397">
        <f>IF(R152&gt;72%,30%,(IF(R152&gt;56.82%,K153,IF(R152=0%,0%))))</f>
        <v>0.3</v>
      </c>
      <c r="L151" s="119">
        <f>K151*1.25</f>
        <v>0.375</v>
      </c>
      <c r="M151" s="119">
        <f>K151*2</f>
        <v>0.6</v>
      </c>
      <c r="N151" s="368">
        <f>'PCF Revenue Calculator'!D59</f>
        <v>0.73</v>
      </c>
      <c r="O151" s="351" t="s">
        <v>263</v>
      </c>
      <c r="P151" s="351" t="s">
        <v>264</v>
      </c>
      <c r="Q151" s="351" t="s">
        <v>265</v>
      </c>
      <c r="R151" s="351" t="s">
        <v>266</v>
      </c>
      <c r="T151" s="355" t="s">
        <v>270</v>
      </c>
      <c r="U151" s="397">
        <f>IF(AB152&gt;72%,30%,(IF(AB152&gt;56.82%,U153,IF(AB152=0%,0%))))</f>
        <v>0.3</v>
      </c>
      <c r="V151" s="119">
        <f>U151*1.25</f>
        <v>0.375</v>
      </c>
      <c r="W151" s="119">
        <f>U151*2</f>
        <v>0.6</v>
      </c>
      <c r="X151" s="368">
        <f>'PCF Revenue Calculator'!E59</f>
        <v>0.73</v>
      </c>
      <c r="Y151" s="351" t="s">
        <v>263</v>
      </c>
      <c r="Z151" s="351" t="s">
        <v>264</v>
      </c>
      <c r="AA151" s="351" t="s">
        <v>265</v>
      </c>
      <c r="AB151" s="351" t="s">
        <v>266</v>
      </c>
    </row>
    <row r="152" spans="1:28" s="196" customFormat="1" x14ac:dyDescent="0.2">
      <c r="A152" s="58"/>
      <c r="B152" s="58"/>
      <c r="C152" s="58"/>
      <c r="D152" s="58"/>
      <c r="E152" s="58"/>
      <c r="F152" s="58"/>
      <c r="G152" s="58"/>
      <c r="H152" s="58"/>
      <c r="I152" s="226"/>
      <c r="J152" s="356"/>
      <c r="K152" s="396" t="s">
        <v>267</v>
      </c>
      <c r="L152" s="353" t="s">
        <v>268</v>
      </c>
      <c r="M152" s="347"/>
      <c r="N152" s="191"/>
      <c r="O152" s="512">
        <v>0.56830000000000003</v>
      </c>
      <c r="P152" s="512">
        <v>0.72009999999999996</v>
      </c>
      <c r="Q152" s="512">
        <f>P152-O152</f>
        <v>0.15179999999999993</v>
      </c>
      <c r="R152" s="509">
        <f>IF(N151&gt;72%,P152,(IF(N151&gt;56.82%,N151,(IF(N151&lt;O152,0%)))))</f>
        <v>0.72009999999999996</v>
      </c>
      <c r="T152" s="356"/>
      <c r="U152" s="396" t="s">
        <v>267</v>
      </c>
      <c r="V152" s="353" t="s">
        <v>268</v>
      </c>
      <c r="W152" s="347"/>
      <c r="X152" s="374"/>
      <c r="Y152" s="512">
        <v>0.56830000000000003</v>
      </c>
      <c r="Z152" s="512">
        <v>0.72009999999999996</v>
      </c>
      <c r="AA152" s="512">
        <f>Z152-Y152</f>
        <v>0.15179999999999993</v>
      </c>
      <c r="AB152" s="509">
        <f>IF(X151&gt;72%,Z152,(IF(X151&gt;56.82%,X151,(IF(X151&lt;Y152,0%)))))</f>
        <v>0.72009999999999996</v>
      </c>
    </row>
    <row r="153" spans="1:28" s="196" customFormat="1" ht="17" thickBot="1" x14ac:dyDescent="0.25">
      <c r="A153" s="58"/>
      <c r="B153" s="58"/>
      <c r="C153" s="58"/>
      <c r="D153" s="58"/>
      <c r="E153" s="58"/>
      <c r="F153" s="58"/>
      <c r="G153" s="58"/>
      <c r="H153" s="58"/>
      <c r="I153" s="226"/>
      <c r="J153" s="363"/>
      <c r="K153" s="514">
        <f>(((N151-O152)/Q152*50%)+50%)*0.3</f>
        <v>0.30978260869565216</v>
      </c>
      <c r="L153" s="515">
        <v>0.3</v>
      </c>
      <c r="M153" s="516"/>
      <c r="N153" s="373"/>
      <c r="O153" s="373"/>
      <c r="P153" s="373"/>
      <c r="Q153" s="373"/>
      <c r="R153" s="373"/>
      <c r="T153" s="363"/>
      <c r="U153" s="514">
        <f>(((X151-Y152)/AA152*50%)+50%)*0.3</f>
        <v>0.30978260869565216</v>
      </c>
      <c r="V153" s="515">
        <v>0.3</v>
      </c>
      <c r="W153" s="516"/>
      <c r="X153" s="373"/>
      <c r="Y153" s="373"/>
      <c r="Z153" s="373"/>
      <c r="AA153" s="373"/>
      <c r="AB153" s="373"/>
    </row>
    <row r="154" spans="1:28" x14ac:dyDescent="0.2">
      <c r="J154" s="362" t="s">
        <v>588</v>
      </c>
      <c r="K154" s="399">
        <f>IF(R155&lt;0.97,67%,(IF(R155&lt;1.17,K156,(IF(R155&gt;O155,0%)))))</f>
        <v>0.67</v>
      </c>
      <c r="L154" s="354">
        <f>K154*1.25</f>
        <v>0.83750000000000002</v>
      </c>
      <c r="M154" s="354">
        <f>K154*2</f>
        <v>1.34</v>
      </c>
      <c r="N154" s="369">
        <f>'PCF Revenue Calculator'!D61</f>
        <v>0.9</v>
      </c>
      <c r="O154" s="371" t="s">
        <v>271</v>
      </c>
      <c r="P154" s="371" t="s">
        <v>272</v>
      </c>
      <c r="Q154" s="372" t="s">
        <v>265</v>
      </c>
      <c r="R154" s="372" t="s">
        <v>589</v>
      </c>
      <c r="T154" s="362" t="s">
        <v>588</v>
      </c>
      <c r="U154" s="399">
        <f>IF(AB155&lt;0.97,67%,(IF(AB155&lt;1.17,U156,(IF(AB155&gt;Y155,0%)))))</f>
        <v>0.67</v>
      </c>
      <c r="V154" s="354">
        <f>U154*1.25</f>
        <v>0.83750000000000002</v>
      </c>
      <c r="W154" s="354">
        <f>U154*2</f>
        <v>1.34</v>
      </c>
      <c r="X154" s="369">
        <f>'PCF Revenue Calculator'!E61</f>
        <v>0.9</v>
      </c>
      <c r="Y154" s="371" t="s">
        <v>271</v>
      </c>
      <c r="Z154" s="371" t="s">
        <v>272</v>
      </c>
      <c r="AA154" s="372" t="s">
        <v>265</v>
      </c>
      <c r="AB154" s="372" t="s">
        <v>589</v>
      </c>
    </row>
    <row r="155" spans="1:28" s="196" customFormat="1" x14ac:dyDescent="0.2">
      <c r="I155" s="226"/>
      <c r="J155" s="356"/>
      <c r="K155" s="396" t="s">
        <v>267</v>
      </c>
      <c r="L155" s="353" t="s">
        <v>268</v>
      </c>
      <c r="M155" s="347"/>
      <c r="O155" s="517">
        <v>1.1599999999999999</v>
      </c>
      <c r="P155" s="518">
        <v>0.96</v>
      </c>
      <c r="Q155" s="518">
        <f>O155-P155</f>
        <v>0.19999999999999996</v>
      </c>
      <c r="R155" s="519">
        <f>IF(N154&lt;0.96,P155,(IF(N154&lt;1.17,N154,(IF(N154&gt;1.16,N154)))))</f>
        <v>0.96</v>
      </c>
      <c r="T155" s="356"/>
      <c r="U155" s="396" t="s">
        <v>267</v>
      </c>
      <c r="V155" s="353" t="s">
        <v>268</v>
      </c>
      <c r="W155" s="347"/>
      <c r="Y155" s="517">
        <v>1.1599999999999999</v>
      </c>
      <c r="Z155" s="518">
        <v>0.96</v>
      </c>
      <c r="AA155" s="518">
        <f>Y155-Z155</f>
        <v>0.19999999999999996</v>
      </c>
      <c r="AB155" s="519">
        <f>IF(X154&lt;0.96,Z155,(IF(X154&lt;1.17,X154,(IF(X154&gt;1.16,X154)))))</f>
        <v>0.96</v>
      </c>
    </row>
    <row r="156" spans="1:28" s="196" customFormat="1" x14ac:dyDescent="0.2">
      <c r="I156" s="226"/>
      <c r="J156" s="356"/>
      <c r="K156" s="510">
        <f>(((O155-N154)/Q155*50%)+50%)*0.67</f>
        <v>0.77049999999999996</v>
      </c>
      <c r="L156" s="511">
        <v>0.67</v>
      </c>
      <c r="M156" s="513"/>
      <c r="T156" s="356"/>
      <c r="U156" s="510">
        <f>(((Y155-X154)/AA155*50%)+50%)*0.67</f>
        <v>0.77049999999999996</v>
      </c>
      <c r="V156" s="511">
        <v>0.67</v>
      </c>
      <c r="W156" s="513"/>
    </row>
    <row r="157" spans="1:28" x14ac:dyDescent="0.2">
      <c r="J157" s="355" t="s">
        <v>273</v>
      </c>
      <c r="K157" s="398">
        <f>IF(R158&lt;0.82,33%,(IF(R158&lt;1.04,K159,(IF(R158&gt;O158,0%)))))</f>
        <v>0.33</v>
      </c>
      <c r="L157" s="119">
        <f>K157*1.25</f>
        <v>0.41250000000000003</v>
      </c>
      <c r="M157" s="119">
        <f>K157*2</f>
        <v>0.66</v>
      </c>
      <c r="N157" s="370">
        <f>'PCF Revenue Calculator'!D62</f>
        <v>0.8</v>
      </c>
      <c r="O157" s="361" t="s">
        <v>271</v>
      </c>
      <c r="P157" s="361" t="s">
        <v>272</v>
      </c>
      <c r="Q157" s="351" t="s">
        <v>265</v>
      </c>
      <c r="R157" s="351" t="s">
        <v>589</v>
      </c>
      <c r="T157" s="355" t="s">
        <v>273</v>
      </c>
      <c r="U157" s="398">
        <f>IF(AB158&lt;0.82,33%,(IF(AB158&lt;1.04,U159,(IF(AB158&gt;Y158,0%)))))</f>
        <v>0.33</v>
      </c>
      <c r="V157" s="119">
        <f>U157*1.25</f>
        <v>0.41250000000000003</v>
      </c>
      <c r="W157" s="119">
        <f>U157*2</f>
        <v>0.66</v>
      </c>
      <c r="X157" s="370">
        <f>'PCF Revenue Calculator'!E62</f>
        <v>0.8</v>
      </c>
      <c r="Y157" s="361" t="s">
        <v>271</v>
      </c>
      <c r="Z157" s="361" t="s">
        <v>272</v>
      </c>
      <c r="AA157" s="351" t="s">
        <v>265</v>
      </c>
      <c r="AB157" s="351" t="s">
        <v>589</v>
      </c>
    </row>
    <row r="158" spans="1:28" s="196" customFormat="1" x14ac:dyDescent="0.2">
      <c r="I158" s="226"/>
      <c r="J158" s="128"/>
      <c r="K158" s="396" t="s">
        <v>267</v>
      </c>
      <c r="L158" s="353" t="s">
        <v>268</v>
      </c>
      <c r="M158" s="347"/>
      <c r="O158" s="520">
        <v>1.03</v>
      </c>
      <c r="P158" s="520">
        <v>0.81</v>
      </c>
      <c r="Q158" s="520">
        <f>O158-P158</f>
        <v>0.21999999999999997</v>
      </c>
      <c r="R158" s="519">
        <f>IF(N157&lt;0.81,P158,(IF(N157&lt;1.04,N157,(IF(N157&gt;1.03,N157)))))</f>
        <v>0.81</v>
      </c>
      <c r="T158" s="128"/>
      <c r="U158" s="396" t="s">
        <v>267</v>
      </c>
      <c r="V158" s="353" t="s">
        <v>268</v>
      </c>
      <c r="W158" s="347"/>
      <c r="Y158" s="520">
        <v>1.03</v>
      </c>
      <c r="Z158" s="520">
        <v>0.81</v>
      </c>
      <c r="AA158" s="520">
        <f>Y158-Z158</f>
        <v>0.21999999999999997</v>
      </c>
      <c r="AB158" s="519">
        <f>IF(X157&lt;0.81,Z158,(IF(X157&lt;1.04,X157,(IF(X157&gt;1.03,X157)))))</f>
        <v>0.81</v>
      </c>
    </row>
    <row r="159" spans="1:28" s="196" customFormat="1" x14ac:dyDescent="0.2">
      <c r="I159" s="226"/>
      <c r="J159" s="128"/>
      <c r="K159" s="510">
        <f>(((O158-N157)/Q158*50%)+50%)*0.33</f>
        <v>0.33750000000000002</v>
      </c>
      <c r="L159" s="511">
        <v>0.33</v>
      </c>
      <c r="M159" s="513"/>
      <c r="S159" s="128"/>
      <c r="T159" s="128"/>
      <c r="U159" s="510">
        <f>(((Y158-X157)/AA158*50%)+50%)*0.33</f>
        <v>0.33750000000000002</v>
      </c>
      <c r="V159" s="511">
        <v>0.33</v>
      </c>
      <c r="W159" s="513"/>
    </row>
    <row r="160" spans="1:28" x14ac:dyDescent="0.2">
      <c r="J160" s="6"/>
      <c r="K160" s="358" t="s">
        <v>274</v>
      </c>
      <c r="L160" s="357">
        <f>L145+L148+L151</f>
        <v>1.25</v>
      </c>
      <c r="M160" s="357">
        <f>M145+M148+M151</f>
        <v>2</v>
      </c>
      <c r="N160" s="6"/>
      <c r="O160" s="6"/>
      <c r="P160" s="6"/>
      <c r="Q160" s="6"/>
      <c r="R160" s="6"/>
      <c r="S160" s="128"/>
      <c r="T160" s="6"/>
      <c r="U160" s="358" t="s">
        <v>274</v>
      </c>
      <c r="V160" s="357">
        <f>V145+V148+V151</f>
        <v>1.25</v>
      </c>
      <c r="W160" s="357">
        <f>W145+W148+W151</f>
        <v>2</v>
      </c>
      <c r="X160" s="6"/>
      <c r="Y160" s="6"/>
      <c r="Z160" s="6"/>
      <c r="AA160" s="6"/>
      <c r="AB160" s="6"/>
    </row>
    <row r="161" spans="1:28" x14ac:dyDescent="0.2">
      <c r="A161" s="196"/>
      <c r="B161" s="196"/>
      <c r="C161" s="196"/>
      <c r="D161" s="196"/>
      <c r="E161" s="196"/>
      <c r="F161" s="196"/>
      <c r="G161" s="196"/>
      <c r="H161" s="196"/>
      <c r="K161" s="44" t="s">
        <v>275</v>
      </c>
      <c r="L161" s="255">
        <f>L154+L157</f>
        <v>1.25</v>
      </c>
      <c r="M161" s="255">
        <f>M154+M157</f>
        <v>2</v>
      </c>
      <c r="U161" s="44" t="s">
        <v>275</v>
      </c>
      <c r="V161" s="255">
        <f>V154+V157</f>
        <v>1.25</v>
      </c>
      <c r="W161" s="255">
        <f>W154+W157</f>
        <v>2</v>
      </c>
    </row>
    <row r="162" spans="1:28" x14ac:dyDescent="0.2">
      <c r="A162" s="196"/>
      <c r="B162" s="196"/>
      <c r="C162" s="196"/>
      <c r="D162" s="196"/>
      <c r="E162" s="196"/>
      <c r="F162" s="196"/>
      <c r="G162" s="196"/>
      <c r="H162" s="196"/>
      <c r="K162" s="359" t="s">
        <v>276</v>
      </c>
      <c r="L162" s="255">
        <f>L161+L160</f>
        <v>2.5</v>
      </c>
      <c r="M162" s="255">
        <f>M161+M160</f>
        <v>4</v>
      </c>
      <c r="O162" s="375"/>
      <c r="P162" s="352"/>
      <c r="U162" s="359" t="s">
        <v>276</v>
      </c>
      <c r="V162" s="255">
        <f>V161+V160</f>
        <v>2.5</v>
      </c>
      <c r="W162" s="255">
        <f>W161+W160</f>
        <v>4</v>
      </c>
      <c r="Y162" s="350"/>
      <c r="Z162" s="352"/>
    </row>
    <row r="163" spans="1:28" x14ac:dyDescent="0.2">
      <c r="J163" s="290" t="s">
        <v>277</v>
      </c>
      <c r="K163" s="135"/>
      <c r="L163" s="6"/>
      <c r="M163" s="191"/>
      <c r="N163" s="190"/>
      <c r="R163" s="191"/>
      <c r="T163" s="290" t="s">
        <v>277</v>
      </c>
      <c r="U163" s="135"/>
      <c r="V163" s="6"/>
      <c r="W163" s="191"/>
      <c r="X163" s="190"/>
      <c r="AB163" s="191"/>
    </row>
    <row r="164" spans="1:28" x14ac:dyDescent="0.2">
      <c r="A164" s="196"/>
      <c r="B164" s="196"/>
      <c r="C164" s="196"/>
      <c r="D164" s="196"/>
      <c r="E164" s="196"/>
      <c r="F164" s="196"/>
      <c r="G164" s="196"/>
      <c r="H164" s="196"/>
      <c r="J164" s="284" t="s">
        <v>278</v>
      </c>
      <c r="K164" s="119">
        <f>IF(K179="Y",1.25,L160)</f>
        <v>1.25</v>
      </c>
      <c r="R164" s="349"/>
      <c r="T164" s="284" t="s">
        <v>278</v>
      </c>
      <c r="U164" s="119">
        <f>IF(U179="Y",1.25,V160)</f>
        <v>1.25</v>
      </c>
      <c r="AB164" s="349"/>
    </row>
    <row r="165" spans="1:28" x14ac:dyDescent="0.2">
      <c r="A165" s="196"/>
      <c r="B165" s="196"/>
      <c r="C165" s="196"/>
      <c r="D165" s="196"/>
      <c r="E165" s="196"/>
      <c r="F165" s="196"/>
      <c r="G165" s="196"/>
      <c r="H165" s="196"/>
      <c r="J165" s="284" t="s">
        <v>279</v>
      </c>
      <c r="K165" s="119">
        <f>IF(K179="Y",2,M160)</f>
        <v>2</v>
      </c>
      <c r="T165" s="284" t="s">
        <v>279</v>
      </c>
      <c r="U165" s="119">
        <f>IF(U179="Y",2,W160)</f>
        <v>2</v>
      </c>
    </row>
    <row r="166" spans="1:28" x14ac:dyDescent="0.2">
      <c r="J166" s="290" t="s">
        <v>280</v>
      </c>
      <c r="K166" s="132"/>
      <c r="T166" s="290" t="s">
        <v>280</v>
      </c>
      <c r="U166" s="132"/>
    </row>
    <row r="167" spans="1:28" x14ac:dyDescent="0.2">
      <c r="J167" s="284" t="s">
        <v>281</v>
      </c>
      <c r="K167" s="119">
        <f>IF(K185="Y",L161,0)</f>
        <v>1.25</v>
      </c>
      <c r="T167" s="284" t="s">
        <v>281</v>
      </c>
      <c r="U167" s="119">
        <f>IF(U185="Y",V161,0)</f>
        <v>1.25</v>
      </c>
    </row>
    <row r="168" spans="1:28" x14ac:dyDescent="0.2">
      <c r="J168" s="284" t="s">
        <v>282</v>
      </c>
      <c r="K168" s="119">
        <f>IF(K185="Y",M161,0)</f>
        <v>2</v>
      </c>
      <c r="T168" s="284" t="s">
        <v>282</v>
      </c>
      <c r="U168" s="119">
        <f>IF(U185="Y",W161,0)</f>
        <v>2</v>
      </c>
    </row>
    <row r="169" spans="1:28" x14ac:dyDescent="0.2">
      <c r="J169" s="290" t="s">
        <v>283</v>
      </c>
      <c r="K169" s="132"/>
      <c r="T169" s="290" t="s">
        <v>283</v>
      </c>
      <c r="U169" s="132"/>
    </row>
    <row r="170" spans="1:28" x14ac:dyDescent="0.2">
      <c r="J170" s="288" t="s">
        <v>284</v>
      </c>
      <c r="K170" s="315">
        <f>SUM(K167+K164)</f>
        <v>2.5</v>
      </c>
      <c r="T170" s="288" t="s">
        <v>284</v>
      </c>
      <c r="U170" s="315">
        <f>SUM(U167+U164)</f>
        <v>2.5</v>
      </c>
    </row>
    <row r="171" spans="1:28" x14ac:dyDescent="0.2">
      <c r="J171" s="288" t="s">
        <v>285</v>
      </c>
      <c r="K171" s="315">
        <f>SUM(K168+K165)</f>
        <v>4</v>
      </c>
      <c r="T171" s="288" t="s">
        <v>285</v>
      </c>
      <c r="U171" s="315">
        <f>SUM(U168+U165)</f>
        <v>4</v>
      </c>
    </row>
    <row r="173" spans="1:28" x14ac:dyDescent="0.2">
      <c r="J173" s="22" t="s">
        <v>286</v>
      </c>
      <c r="K173" s="6"/>
      <c r="M173" s="346"/>
      <c r="T173" s="22" t="s">
        <v>287</v>
      </c>
      <c r="U173" s="6"/>
      <c r="W173" s="346"/>
    </row>
    <row r="174" spans="1:28" x14ac:dyDescent="0.2">
      <c r="J174" s="312"/>
      <c r="K174" s="400" t="s">
        <v>288</v>
      </c>
      <c r="M174" s="346"/>
      <c r="T174" s="312"/>
      <c r="U174" s="400" t="s">
        <v>288</v>
      </c>
      <c r="W174" s="346"/>
    </row>
    <row r="175" spans="1:28" x14ac:dyDescent="0.2">
      <c r="J175" s="6"/>
      <c r="K175" s="286" t="s">
        <v>289</v>
      </c>
      <c r="M175" s="346"/>
      <c r="T175" s="6"/>
      <c r="U175" s="286" t="s">
        <v>289</v>
      </c>
      <c r="W175" s="346"/>
    </row>
    <row r="176" spans="1:28" x14ac:dyDescent="0.2">
      <c r="J176" s="287" t="s">
        <v>290</v>
      </c>
      <c r="K176" s="287">
        <f>IF(N145&gt;82.88%,1,0)</f>
        <v>1</v>
      </c>
      <c r="T176" s="287" t="s">
        <v>290</v>
      </c>
      <c r="U176" s="287">
        <f>IF(X145&gt;82.88%,1,0)</f>
        <v>1</v>
      </c>
    </row>
    <row r="177" spans="10:23" x14ac:dyDescent="0.2">
      <c r="J177" s="287" t="s">
        <v>291</v>
      </c>
      <c r="K177" s="287">
        <f>IF(N148&lt;25.88%,1,0)</f>
        <v>1</v>
      </c>
      <c r="T177" s="287" t="s">
        <v>291</v>
      </c>
      <c r="U177" s="287">
        <f>IF(X148&lt;25.88%,1,0)</f>
        <v>1</v>
      </c>
    </row>
    <row r="178" spans="10:23" x14ac:dyDescent="0.2">
      <c r="J178" s="287" t="s">
        <v>292</v>
      </c>
      <c r="K178" s="287">
        <f>IF(N151&gt;72%,1,0)</f>
        <v>1</v>
      </c>
      <c r="L178" s="57" t="s">
        <v>293</v>
      </c>
      <c r="M178" s="57" t="s">
        <v>294</v>
      </c>
      <c r="T178" s="287" t="s">
        <v>292</v>
      </c>
      <c r="U178" s="287">
        <f>IF(X151&gt;72%,1,0)</f>
        <v>1</v>
      </c>
      <c r="V178" s="57" t="s">
        <v>293</v>
      </c>
      <c r="W178" s="57" t="s">
        <v>294</v>
      </c>
    </row>
    <row r="179" spans="10:23" x14ac:dyDescent="0.2">
      <c r="J179" s="110" t="s">
        <v>295</v>
      </c>
      <c r="K179" s="348" t="str">
        <f>IF(AND(L179="N",M179="Y"),"Y","N")</f>
        <v>Y</v>
      </c>
      <c r="L179" s="348" t="str">
        <f>IF(OR(N145&lt;O146,N148&gt;O149,N151&lt;O152),"Y","N")</f>
        <v>N</v>
      </c>
      <c r="M179" s="348" t="str">
        <f>IF(SUM(K176:K178)&gt;1,"Y","N")</f>
        <v>Y</v>
      </c>
      <c r="T179" s="110" t="s">
        <v>295</v>
      </c>
      <c r="U179" s="348" t="str">
        <f>IF(AND(V179="N",W179="Y"),"Y","N")</f>
        <v>Y</v>
      </c>
      <c r="V179" s="348" t="str">
        <f>IF(OR(X145&lt;Y146,X148&gt;Y149,X151&lt;Y152),"Y","N")</f>
        <v>N</v>
      </c>
      <c r="W179" s="348" t="str">
        <f>IF(SUM(U176:U178)&gt;1,"Y","N")</f>
        <v>Y</v>
      </c>
    </row>
    <row r="180" spans="10:23" x14ac:dyDescent="0.2">
      <c r="J180" s="312"/>
      <c r="K180" s="401" t="s">
        <v>296</v>
      </c>
      <c r="T180" s="312"/>
      <c r="U180" s="401" t="s">
        <v>296</v>
      </c>
    </row>
    <row r="181" spans="10:23" x14ac:dyDescent="0.2">
      <c r="J181" s="6"/>
      <c r="K181" s="286" t="s">
        <v>297</v>
      </c>
      <c r="T181" s="6"/>
      <c r="U181" s="286" t="s">
        <v>297</v>
      </c>
    </row>
    <row r="182" spans="10:23" x14ac:dyDescent="0.2">
      <c r="J182" s="287" t="s">
        <v>298</v>
      </c>
      <c r="K182" s="287">
        <f>IF(N145&gt;78.9%,1,0)</f>
        <v>1</v>
      </c>
      <c r="T182" s="287" t="s">
        <v>298</v>
      </c>
      <c r="U182" s="287">
        <f>IF(X145&gt;78.9%,1,0)</f>
        <v>1</v>
      </c>
    </row>
    <row r="183" spans="10:23" x14ac:dyDescent="0.2">
      <c r="J183" s="287" t="s">
        <v>299</v>
      </c>
      <c r="K183" s="287">
        <f>IF(N148&lt;60.79%,1,0)</f>
        <v>1</v>
      </c>
      <c r="T183" s="287" t="s">
        <v>299</v>
      </c>
      <c r="U183" s="287">
        <f>IF(X148&lt;60.79%,1,0)</f>
        <v>1</v>
      </c>
    </row>
    <row r="184" spans="10:23" x14ac:dyDescent="0.2">
      <c r="J184" s="287" t="s">
        <v>300</v>
      </c>
      <c r="K184" s="287">
        <f>IF(N151&gt;56.82%,1,0)</f>
        <v>1</v>
      </c>
      <c r="T184" s="287" t="s">
        <v>300</v>
      </c>
      <c r="U184" s="287">
        <f>IF(X151&gt;56.82%,1,0)</f>
        <v>1</v>
      </c>
    </row>
    <row r="185" spans="10:23" x14ac:dyDescent="0.2">
      <c r="J185" s="110" t="s">
        <v>301</v>
      </c>
      <c r="K185" s="109" t="str">
        <f>IF(SUM(K182:K184)&gt;1,"Y","N")</f>
        <v>Y</v>
      </c>
      <c r="T185" s="110" t="s">
        <v>301</v>
      </c>
      <c r="U185" s="109" t="str">
        <f>IF(SUM(U182:U184)&gt;1,"Y","N")</f>
        <v>Y</v>
      </c>
    </row>
    <row r="186" spans="10:23" x14ac:dyDescent="0.2">
      <c r="J186" s="6"/>
      <c r="K186" s="6"/>
      <c r="T186" s="6"/>
      <c r="U186" s="6"/>
    </row>
    <row r="187" spans="10:23" x14ac:dyDescent="0.2">
      <c r="K187" s="57" t="s">
        <v>129</v>
      </c>
      <c r="L187" s="57" t="s">
        <v>130</v>
      </c>
    </row>
    <row r="188" spans="10:23" x14ac:dyDescent="0.2">
      <c r="J188" s="317" t="s">
        <v>304</v>
      </c>
      <c r="K188" s="299">
        <f>C45*C19+K62 +K56</f>
        <v>228533.25</v>
      </c>
      <c r="L188" s="299">
        <f>D45*D19+L62 +L56</f>
        <v>228533.25</v>
      </c>
      <c r="M188" s="610" t="s">
        <v>129</v>
      </c>
      <c r="N188" s="347" t="s">
        <v>302</v>
      </c>
      <c r="O188" s="347" t="s">
        <v>302</v>
      </c>
      <c r="P188" s="610" t="s">
        <v>303</v>
      </c>
      <c r="Q188" s="347" t="s">
        <v>302</v>
      </c>
      <c r="R188" s="347" t="s">
        <v>302</v>
      </c>
    </row>
    <row r="189" spans="10:23" x14ac:dyDescent="0.2">
      <c r="J189" s="384" t="s">
        <v>306</v>
      </c>
      <c r="K189" s="383">
        <f>C45*C19+K56</f>
        <v>186953.25</v>
      </c>
      <c r="L189" s="391">
        <f>D45*D19+L56</f>
        <v>186953.25</v>
      </c>
      <c r="M189" s="610"/>
      <c r="N189" s="387" t="s">
        <v>305</v>
      </c>
      <c r="O189" s="351" t="s">
        <v>60</v>
      </c>
      <c r="P189" s="466"/>
      <c r="Q189" s="351" t="s">
        <v>305</v>
      </c>
      <c r="R189" s="351" t="s">
        <v>60</v>
      </c>
      <c r="S189" s="611"/>
    </row>
    <row r="190" spans="10:23" x14ac:dyDescent="0.2">
      <c r="J190" s="384" t="s">
        <v>308</v>
      </c>
      <c r="K190" s="381">
        <f>K188-K62</f>
        <v>186953.25</v>
      </c>
      <c r="L190" s="381">
        <f>L188-L62</f>
        <v>186953.25</v>
      </c>
      <c r="M190" s="610" t="s">
        <v>307</v>
      </c>
      <c r="N190" s="388">
        <v>0.65</v>
      </c>
      <c r="O190" s="389">
        <v>0.4</v>
      </c>
      <c r="P190" s="610" t="s">
        <v>307</v>
      </c>
      <c r="Q190" s="389">
        <v>0.65</v>
      </c>
      <c r="R190" s="389">
        <v>0.4</v>
      </c>
    </row>
    <row r="191" spans="10:23" x14ac:dyDescent="0.2">
      <c r="J191" s="385" t="s">
        <v>310</v>
      </c>
      <c r="K191" s="557" t="str">
        <f>IF(U196=Q198,N189,IF(U196=Q199,N189,IF(U196=Q200,O189,0)))</f>
        <v>40%/60%</v>
      </c>
      <c r="L191" s="558" t="str">
        <f>IF(V196=Q198,N189,IF(V196=Q199,N189,IF(V196=Q200,O189,0)))</f>
        <v>40%/60%</v>
      </c>
      <c r="M191" s="610" t="s">
        <v>309</v>
      </c>
      <c r="N191" s="388">
        <v>0.35</v>
      </c>
      <c r="O191" s="389">
        <v>0.6</v>
      </c>
      <c r="P191" s="610" t="s">
        <v>309</v>
      </c>
      <c r="Q191" s="389">
        <v>0.35</v>
      </c>
      <c r="R191" s="389">
        <v>0.6</v>
      </c>
    </row>
    <row r="192" spans="10:23" x14ac:dyDescent="0.2">
      <c r="J192" s="626" t="s">
        <v>610</v>
      </c>
      <c r="K192" s="382">
        <f>'PCF Revenue Calculator'!D27</f>
        <v>20000</v>
      </c>
      <c r="L192" s="391">
        <f>'PCF Revenue Calculator'!E27</f>
        <v>20000</v>
      </c>
      <c r="M192" s="610" t="s">
        <v>307</v>
      </c>
      <c r="N192" s="390">
        <f>N190*K188*1.1</f>
        <v>163401.27375000002</v>
      </c>
      <c r="O192" s="391">
        <f>O190*K188*1.1</f>
        <v>100554.63</v>
      </c>
      <c r="P192" s="610" t="s">
        <v>307</v>
      </c>
      <c r="Q192" s="391">
        <f>Q190*L188*1.1</f>
        <v>163401.27375000002</v>
      </c>
      <c r="R192" s="391">
        <f>R190*L188*1.1</f>
        <v>100554.63</v>
      </c>
    </row>
    <row r="193" spans="10:22" x14ac:dyDescent="0.2">
      <c r="J193" s="385" t="s">
        <v>312</v>
      </c>
      <c r="K193" s="382">
        <f>N194+K192</f>
        <v>248834.91125</v>
      </c>
      <c r="L193" s="382">
        <f>Q194+L192</f>
        <v>248834.91125</v>
      </c>
      <c r="M193" s="610" t="s">
        <v>311</v>
      </c>
      <c r="N193" s="390">
        <f>K189*N191</f>
        <v>65433.637499999997</v>
      </c>
      <c r="O193" s="391">
        <f>K189*O191</f>
        <v>112171.95</v>
      </c>
      <c r="P193" s="610" t="s">
        <v>311</v>
      </c>
      <c r="Q193" s="391">
        <f>Q191*L189</f>
        <v>65433.637499999997</v>
      </c>
      <c r="R193" s="391">
        <f>R191*L189</f>
        <v>112171.95</v>
      </c>
    </row>
    <row r="194" spans="10:22" x14ac:dyDescent="0.2">
      <c r="J194" s="385" t="s">
        <v>314</v>
      </c>
      <c r="K194" s="382">
        <f>O194+K192</f>
        <v>232726.58000000002</v>
      </c>
      <c r="L194" s="382">
        <f>R194+L192</f>
        <v>232726.58000000002</v>
      </c>
      <c r="M194" s="610" t="s">
        <v>313</v>
      </c>
      <c r="N194" s="390">
        <f>SUM(N192:N193)</f>
        <v>228834.91125</v>
      </c>
      <c r="O194" s="391">
        <f>SUM(O192:O193)</f>
        <v>212726.58000000002</v>
      </c>
      <c r="P194" s="610" t="s">
        <v>313</v>
      </c>
      <c r="Q194" s="391">
        <f>SUM(Q192:Q193)</f>
        <v>228834.91125</v>
      </c>
      <c r="R194" s="391">
        <f>SUM(R192:R193)</f>
        <v>212726.58000000002</v>
      </c>
    </row>
    <row r="195" spans="10:22" x14ac:dyDescent="0.2">
      <c r="J195" s="552"/>
      <c r="K195" s="560"/>
      <c r="L195" s="560"/>
      <c r="M195" s="561"/>
      <c r="N195" s="561"/>
      <c r="O195" s="561"/>
      <c r="P195" s="561"/>
      <c r="U195" s="51" t="s">
        <v>557</v>
      </c>
      <c r="V195" s="51" t="s">
        <v>558</v>
      </c>
    </row>
    <row r="196" spans="10:22" x14ac:dyDescent="0.2">
      <c r="J196" s="552"/>
      <c r="K196" s="562" t="s">
        <v>129</v>
      </c>
      <c r="L196" s="201"/>
      <c r="M196" s="190"/>
      <c r="N196" s="563" t="s">
        <v>130</v>
      </c>
      <c r="O196" s="201"/>
      <c r="P196" s="190"/>
      <c r="Q196" s="190"/>
      <c r="U196" s="57" t="str">
        <f>'PCF Revenue Calculator'!D47</f>
        <v>Track 2 40%/60%</v>
      </c>
      <c r="V196" s="57" t="str">
        <f>'PCF Revenue Calculator'!E47</f>
        <v>Track 2 40%/60%</v>
      </c>
    </row>
    <row r="197" spans="10:22" x14ac:dyDescent="0.2">
      <c r="J197" s="386" t="s">
        <v>315</v>
      </c>
      <c r="K197" s="51" t="s">
        <v>237</v>
      </c>
      <c r="L197" s="551" t="s">
        <v>554</v>
      </c>
      <c r="M197" s="570"/>
      <c r="N197" s="567" t="s">
        <v>237</v>
      </c>
      <c r="O197" s="559" t="s">
        <v>554</v>
      </c>
      <c r="P197" s="572"/>
      <c r="Q197" s="547" t="s">
        <v>560</v>
      </c>
      <c r="R197" s="574"/>
      <c r="S197" s="191"/>
      <c r="U197" s="51" t="s">
        <v>557</v>
      </c>
      <c r="V197" s="51" t="s">
        <v>558</v>
      </c>
    </row>
    <row r="198" spans="10:22" x14ac:dyDescent="0.2">
      <c r="J198" s="402" t="s">
        <v>316</v>
      </c>
      <c r="K198" s="382">
        <f>N140</f>
        <v>76560</v>
      </c>
      <c r="L198" s="553">
        <f>O140</f>
        <v>118470</v>
      </c>
      <c r="M198" s="564"/>
      <c r="N198" s="568">
        <f>X140</f>
        <v>76560</v>
      </c>
      <c r="O198" s="382">
        <f>Y140</f>
        <v>118470</v>
      </c>
      <c r="P198" s="573"/>
      <c r="Q198" s="550" t="s">
        <v>237</v>
      </c>
      <c r="R198" s="548"/>
      <c r="S198" s="190"/>
      <c r="T198" s="260" t="s">
        <v>489</v>
      </c>
      <c r="U198" s="205">
        <f>IF(U196="Track 1",K198,L198)</f>
        <v>118470</v>
      </c>
      <c r="V198" s="205">
        <f>IF(V196="Track 1",N198,O198)</f>
        <v>118470</v>
      </c>
    </row>
    <row r="199" spans="10:22" x14ac:dyDescent="0.2">
      <c r="J199" s="403" t="s">
        <v>317</v>
      </c>
      <c r="K199" s="383">
        <f>K170*'PCF Revenue Calculator'!D48*12</f>
        <v>16500</v>
      </c>
      <c r="L199" s="554">
        <f>K171*'PCF Revenue Calculator'!D48*12</f>
        <v>26400</v>
      </c>
      <c r="M199" s="564"/>
      <c r="N199" s="390">
        <f>U170*'PCF Revenue Calculator'!E48*12</f>
        <v>16500</v>
      </c>
      <c r="O199" s="391">
        <f>U171*'PCF Revenue Calculator'!E48*12</f>
        <v>26400</v>
      </c>
      <c r="P199" s="573"/>
      <c r="Q199" s="549" t="s">
        <v>554</v>
      </c>
      <c r="R199" s="548"/>
      <c r="S199" s="190"/>
      <c r="T199" s="132" t="s">
        <v>556</v>
      </c>
      <c r="U199" s="205">
        <f>IF(U196="Track 1",K200,L200)</f>
        <v>232726.58000000002</v>
      </c>
      <c r="V199" s="205">
        <f>IF(V196="Track 1",N200,O200)</f>
        <v>232726.58000000002</v>
      </c>
    </row>
    <row r="200" spans="10:22" x14ac:dyDescent="0.2">
      <c r="J200" s="56" t="s">
        <v>318</v>
      </c>
      <c r="K200" s="391">
        <f>K190</f>
        <v>186953.25</v>
      </c>
      <c r="L200" s="205">
        <f>IF(K191="65%/35%",K193,K194)</f>
        <v>232726.58000000002</v>
      </c>
      <c r="M200" s="564"/>
      <c r="N200" s="390">
        <f>L190</f>
        <v>186953.25</v>
      </c>
      <c r="O200" s="391">
        <f>IF(L191="65%/35%",L193,L194)</f>
        <v>232726.58000000002</v>
      </c>
      <c r="P200" s="573"/>
      <c r="Q200" s="549" t="s">
        <v>555</v>
      </c>
      <c r="R200" s="548"/>
      <c r="S200" s="190"/>
      <c r="T200" s="132" t="s">
        <v>490</v>
      </c>
      <c r="U200" s="205">
        <f>IF(U196="Track 1",K199,L199)</f>
        <v>26400</v>
      </c>
      <c r="V200" s="205">
        <f>IF(V196="Track 1",N199,O199)</f>
        <v>26400</v>
      </c>
    </row>
    <row r="201" spans="10:22" x14ac:dyDescent="0.2">
      <c r="J201" s="359" t="s">
        <v>319</v>
      </c>
      <c r="K201" s="166">
        <f>K199+K200+K198</f>
        <v>280013.25</v>
      </c>
      <c r="L201" s="555">
        <f>L198+L199+L200</f>
        <v>377596.58</v>
      </c>
      <c r="M201" s="565"/>
      <c r="N201" s="569">
        <f>N199+N200+N198</f>
        <v>280013.25</v>
      </c>
      <c r="O201" s="556">
        <f>O198+O199+O200</f>
        <v>377596.58</v>
      </c>
      <c r="P201" s="566"/>
      <c r="Q201" s="190"/>
      <c r="V201" s="205"/>
    </row>
    <row r="202" spans="10:22" x14ac:dyDescent="0.2">
      <c r="T202" s="58" t="s">
        <v>464</v>
      </c>
      <c r="U202" s="205">
        <f>IF(U196="Track 1",K201,L201)</f>
        <v>377596.58</v>
      </c>
      <c r="V202" s="205">
        <f>IF(V196="Track 1",N201,O201)</f>
        <v>377596.58</v>
      </c>
    </row>
    <row r="203" spans="10:22" x14ac:dyDescent="0.2">
      <c r="J203" s="196" t="s">
        <v>320</v>
      </c>
    </row>
    <row r="205" spans="10:22" x14ac:dyDescent="0.2">
      <c r="J205" s="521" t="s">
        <v>321</v>
      </c>
      <c r="K205" s="58" t="s">
        <v>322</v>
      </c>
      <c r="L205" s="58" t="s">
        <v>323</v>
      </c>
      <c r="M205" s="58" t="s">
        <v>324</v>
      </c>
      <c r="N205" s="58" t="s">
        <v>533</v>
      </c>
      <c r="O205" s="58" t="s">
        <v>325</v>
      </c>
    </row>
    <row r="206" spans="10:22" x14ac:dyDescent="0.2">
      <c r="J206" s="58" t="s">
        <v>326</v>
      </c>
      <c r="K206" s="349">
        <v>0.78910000000000002</v>
      </c>
      <c r="L206" s="349">
        <v>0.60780000000000001</v>
      </c>
      <c r="M206" s="349">
        <v>0.56830000000000003</v>
      </c>
      <c r="N206" s="206">
        <v>1.1599999999999999</v>
      </c>
      <c r="O206" s="206">
        <v>1.03</v>
      </c>
    </row>
    <row r="207" spans="10:22" x14ac:dyDescent="0.2">
      <c r="J207" s="58" t="s">
        <v>327</v>
      </c>
      <c r="K207" s="349">
        <v>0.82889999999999997</v>
      </c>
      <c r="L207" s="349">
        <v>0.25869999999999999</v>
      </c>
      <c r="M207" s="349">
        <v>0.72009999999999996</v>
      </c>
      <c r="N207" s="206">
        <v>0.96</v>
      </c>
      <c r="O207" s="206">
        <v>0.81</v>
      </c>
    </row>
    <row r="208" spans="10:22" x14ac:dyDescent="0.2">
      <c r="K208" s="349"/>
      <c r="L208" s="349"/>
      <c r="M208" s="349"/>
      <c r="N208" s="206"/>
      <c r="O208" s="206"/>
    </row>
    <row r="209" spans="11:14" x14ac:dyDescent="0.2">
      <c r="M209" s="206"/>
      <c r="N209" s="206"/>
    </row>
    <row r="217" spans="11:14" x14ac:dyDescent="0.2">
      <c r="K217" s="349"/>
    </row>
    <row r="218" spans="11:14" x14ac:dyDescent="0.2">
      <c r="K218" s="349"/>
    </row>
    <row r="219" spans="11:14" x14ac:dyDescent="0.2">
      <c r="K219" s="349"/>
    </row>
    <row r="220" spans="11:14" x14ac:dyDescent="0.2">
      <c r="K220" s="349"/>
    </row>
    <row r="221" spans="11:14" x14ac:dyDescent="0.2">
      <c r="K221" s="349"/>
    </row>
    <row r="222" spans="11:14" x14ac:dyDescent="0.2">
      <c r="K222" s="349"/>
    </row>
    <row r="223" spans="11:14" x14ac:dyDescent="0.2">
      <c r="K223" s="349"/>
    </row>
    <row r="224" spans="11:14" x14ac:dyDescent="0.2">
      <c r="K224" s="349"/>
    </row>
    <row r="225" spans="11:11" x14ac:dyDescent="0.2">
      <c r="K225" s="349"/>
    </row>
    <row r="226" spans="11:11" x14ac:dyDescent="0.2">
      <c r="K226" s="349"/>
    </row>
    <row r="227" spans="11:11" x14ac:dyDescent="0.2">
      <c r="K227" s="349"/>
    </row>
    <row r="228" spans="11:11" x14ac:dyDescent="0.2">
      <c r="K228" s="349"/>
    </row>
    <row r="229" spans="11:11" x14ac:dyDescent="0.2">
      <c r="K229" s="349"/>
    </row>
    <row r="230" spans="11:11" x14ac:dyDescent="0.2">
      <c r="K230" s="349"/>
    </row>
    <row r="231" spans="11:11" x14ac:dyDescent="0.2">
      <c r="K231" s="349"/>
    </row>
    <row r="232" spans="11:11" x14ac:dyDescent="0.2">
      <c r="K232" s="349"/>
    </row>
    <row r="233" spans="11:11" x14ac:dyDescent="0.2">
      <c r="K233" s="349"/>
    </row>
    <row r="234" spans="11:11" x14ac:dyDescent="0.2">
      <c r="K234" s="349"/>
    </row>
    <row r="235" spans="11:11" x14ac:dyDescent="0.2">
      <c r="K235" s="349"/>
    </row>
    <row r="236" spans="11:11" x14ac:dyDescent="0.2">
      <c r="K236" s="349"/>
    </row>
    <row r="237" spans="11:11" x14ac:dyDescent="0.2">
      <c r="K237" s="349"/>
    </row>
    <row r="238" spans="11:11" x14ac:dyDescent="0.2">
      <c r="K238" s="349"/>
    </row>
    <row r="239" spans="11:11" x14ac:dyDescent="0.2">
      <c r="K239" s="349"/>
    </row>
    <row r="240" spans="11:11" x14ac:dyDescent="0.2">
      <c r="K240" s="349"/>
    </row>
    <row r="241" spans="11:11" x14ac:dyDescent="0.2">
      <c r="K241" s="349"/>
    </row>
    <row r="242" spans="11:11" x14ac:dyDescent="0.2">
      <c r="K242" s="349"/>
    </row>
    <row r="243" spans="11:11" x14ac:dyDescent="0.2">
      <c r="K243" s="349"/>
    </row>
    <row r="244" spans="11:11" x14ac:dyDescent="0.2">
      <c r="K244" s="349"/>
    </row>
    <row r="245" spans="11:11" x14ac:dyDescent="0.2">
      <c r="K245" s="349"/>
    </row>
    <row r="246" spans="11:11" x14ac:dyDescent="0.2">
      <c r="K246" s="349"/>
    </row>
    <row r="247" spans="11:11" x14ac:dyDescent="0.2">
      <c r="K247" s="349"/>
    </row>
    <row r="248" spans="11:11" x14ac:dyDescent="0.2">
      <c r="K248" s="349"/>
    </row>
    <row r="249" spans="11:11" x14ac:dyDescent="0.2">
      <c r="K249" s="349"/>
    </row>
    <row r="250" spans="11:11" x14ac:dyDescent="0.2">
      <c r="K250" s="349"/>
    </row>
    <row r="251" spans="11:11" x14ac:dyDescent="0.2">
      <c r="K251" s="349"/>
    </row>
    <row r="252" spans="11:11" x14ac:dyDescent="0.2">
      <c r="K252" s="349"/>
    </row>
    <row r="253" spans="11:11" x14ac:dyDescent="0.2">
      <c r="K253" s="349"/>
    </row>
    <row r="254" spans="11:11" x14ac:dyDescent="0.2">
      <c r="K254" s="349"/>
    </row>
    <row r="255" spans="11:11" x14ac:dyDescent="0.2">
      <c r="K255" s="349"/>
    </row>
    <row r="256" spans="11:11" x14ac:dyDescent="0.2">
      <c r="K256" s="349"/>
    </row>
    <row r="257" spans="11:11" x14ac:dyDescent="0.2">
      <c r="K257" s="349"/>
    </row>
    <row r="258" spans="11:11" x14ac:dyDescent="0.2">
      <c r="K258" s="349"/>
    </row>
    <row r="259" spans="11:11" x14ac:dyDescent="0.2">
      <c r="K259" s="349"/>
    </row>
    <row r="260" spans="11:11" x14ac:dyDescent="0.2">
      <c r="K260" s="349"/>
    </row>
    <row r="261" spans="11:11" x14ac:dyDescent="0.2">
      <c r="K261" s="349"/>
    </row>
    <row r="262" spans="11:11" x14ac:dyDescent="0.2">
      <c r="K262" s="349"/>
    </row>
    <row r="263" spans="11:11" x14ac:dyDescent="0.2">
      <c r="K263" s="349"/>
    </row>
    <row r="264" spans="11:11" x14ac:dyDescent="0.2">
      <c r="K264" s="349"/>
    </row>
    <row r="265" spans="11:11" x14ac:dyDescent="0.2">
      <c r="K265" s="349"/>
    </row>
    <row r="266" spans="11:11" x14ac:dyDescent="0.2">
      <c r="K266" s="349"/>
    </row>
    <row r="267" spans="11:11" x14ac:dyDescent="0.2">
      <c r="K267" s="349"/>
    </row>
    <row r="268" spans="11:11" x14ac:dyDescent="0.2">
      <c r="K268" s="349"/>
    </row>
    <row r="269" spans="11:11" x14ac:dyDescent="0.2">
      <c r="K269" s="349"/>
    </row>
    <row r="270" spans="11:11" x14ac:dyDescent="0.2">
      <c r="K270" s="349"/>
    </row>
    <row r="271" spans="11:11" x14ac:dyDescent="0.2">
      <c r="K271" s="349"/>
    </row>
    <row r="272" spans="11:11" x14ac:dyDescent="0.2">
      <c r="K272" s="349"/>
    </row>
    <row r="273" spans="11:11" x14ac:dyDescent="0.2">
      <c r="K273" s="349"/>
    </row>
    <row r="274" spans="11:11" x14ac:dyDescent="0.2">
      <c r="K274" s="349"/>
    </row>
  </sheetData>
  <sheetProtection sheet="1" selectLockedCells="1" selectUnlockedCells="1"/>
  <mergeCells count="5">
    <mergeCell ref="B1:G1"/>
    <mergeCell ref="F3:G3"/>
    <mergeCell ref="K3:M3"/>
    <mergeCell ref="F17:G17"/>
    <mergeCell ref="R5:Z8"/>
  </mergeCells>
  <phoneticPr fontId="15" type="noConversion"/>
  <conditionalFormatting sqref="O162">
    <cfRule type="colorScale" priority="1">
      <colorScale>
        <cfvo type="formula" val="&quot;&lt;30&quot;"/>
        <cfvo type="num" val="&quot;30-50&quot;"/>
        <cfvo type="num" val="&quot;&gt;50&quot;"/>
        <color rgb="FFFF7128"/>
        <color rgb="FFFFEB84"/>
        <color theme="8"/>
      </colorScale>
    </cfRule>
  </conditionalFormatting>
  <dataValidations disablePrompts="1" count="5">
    <dataValidation type="list" allowBlank="1" showInputMessage="1" showErrorMessage="1" sqref="C16:D17 E15:E17" xr:uid="{CA21E485-6D1D-674D-8A71-0C9EE1E342D4}">
      <formula1>$J$87:$J$90</formula1>
    </dataValidation>
    <dataValidation type="list" allowBlank="1" showInputMessage="1" showErrorMessage="1" sqref="K67:L67" xr:uid="{5863BC51-A686-AB49-9366-0FE6ED5BA0AE}">
      <formula1>$M$67:$O$67</formula1>
    </dataValidation>
    <dataValidation type="list" allowBlank="1" showInputMessage="1" showErrorMessage="1" sqref="K45:L45" xr:uid="{AE065BA5-5F0E-5E45-B793-D37B42998AFB}">
      <formula1>$J$89:$J$90</formula1>
    </dataValidation>
    <dataValidation type="list" allowBlank="1" showInputMessage="1" showErrorMessage="1" sqref="U196:V196" xr:uid="{245734FE-C58F-7046-80E9-30B4DD301D26}">
      <formula1>$Q$198:$Q$200</formula1>
    </dataValidation>
    <dataValidation type="list" allowBlank="1" showInputMessage="1" showErrorMessage="1" sqref="K66:L66" xr:uid="{A6E54B1D-E4AF-A549-85BE-9E2137ED4E57}">
      <formula1>#REF!</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5AD0E-2296-6341-A012-F3CFAFA6F34B}">
  <sheetPr codeName="Sheet3"/>
  <dimension ref="A1:T94"/>
  <sheetViews>
    <sheetView topLeftCell="E1" zoomScale="70" zoomScaleNormal="70" workbookViewId="0">
      <pane ySplit="2" topLeftCell="A3" activePane="bottomLeft" state="frozen"/>
      <selection pane="bottomLeft" activeCell="B58" sqref="B58:M58"/>
    </sheetView>
  </sheetViews>
  <sheetFormatPr baseColWidth="10" defaultColWidth="10.83203125" defaultRowHeight="16" x14ac:dyDescent="0.2"/>
  <cols>
    <col min="1" max="1" width="56.5" style="420" customWidth="1"/>
    <col min="2" max="2" width="8" style="464" customWidth="1"/>
    <col min="3" max="3" width="18" style="464" customWidth="1"/>
    <col min="4" max="4" width="17.83203125" style="464" customWidth="1"/>
    <col min="5" max="5" width="15" style="464" customWidth="1"/>
    <col min="6" max="6" width="17.83203125" style="464" customWidth="1"/>
    <col min="7" max="7" width="13.1640625" style="464" customWidth="1"/>
    <col min="8" max="8" width="4.6640625" style="464" customWidth="1"/>
    <col min="9" max="9" width="5.5" style="464" customWidth="1"/>
    <col min="10" max="10" width="7.83203125" style="464" customWidth="1"/>
    <col min="11" max="13" width="10.83203125" style="464"/>
    <col min="14" max="14" width="3.33203125" style="461" customWidth="1"/>
    <col min="15" max="16384" width="10.83203125" style="464"/>
  </cols>
  <sheetData>
    <row r="1" spans="1:20" s="546" customFormat="1" ht="43" customHeight="1" x14ac:dyDescent="0.2">
      <c r="A1" s="575" t="s">
        <v>561</v>
      </c>
      <c r="B1" s="654"/>
      <c r="C1" s="655"/>
      <c r="D1" s="655"/>
      <c r="E1" s="655"/>
      <c r="F1" s="655"/>
      <c r="G1" s="655"/>
      <c r="H1" s="655"/>
      <c r="I1" s="655"/>
      <c r="J1" s="655"/>
      <c r="K1" s="655"/>
      <c r="L1" s="655"/>
      <c r="M1" s="656"/>
      <c r="N1" s="461"/>
    </row>
    <row r="2" spans="1:20" s="216" customFormat="1" ht="20" customHeight="1" x14ac:dyDescent="0.2">
      <c r="A2" s="595" t="s">
        <v>591</v>
      </c>
      <c r="B2" s="657"/>
      <c r="C2" s="657"/>
      <c r="D2" s="657"/>
      <c r="E2" s="657"/>
      <c r="F2" s="657"/>
      <c r="G2" s="657"/>
      <c r="H2" s="657"/>
      <c r="I2" s="657"/>
      <c r="J2" s="657"/>
      <c r="K2" s="657"/>
      <c r="L2" s="657"/>
      <c r="M2" s="657"/>
      <c r="N2" s="224"/>
    </row>
    <row r="3" spans="1:20" s="215" customFormat="1" ht="20" x14ac:dyDescent="0.2">
      <c r="A3" s="217" t="s">
        <v>328</v>
      </c>
      <c r="B3" s="661"/>
      <c r="C3" s="661"/>
      <c r="D3" s="661"/>
      <c r="E3" s="661"/>
      <c r="F3" s="661"/>
      <c r="G3" s="661"/>
      <c r="H3" s="661"/>
      <c r="I3" s="661"/>
      <c r="J3" s="661"/>
      <c r="K3" s="661"/>
      <c r="L3" s="661"/>
      <c r="M3" s="661"/>
      <c r="N3" s="225"/>
    </row>
    <row r="4" spans="1:20" ht="17" x14ac:dyDescent="0.2">
      <c r="A4" s="536" t="s">
        <v>11</v>
      </c>
      <c r="B4" s="537"/>
      <c r="C4" s="537"/>
      <c r="D4" s="537"/>
      <c r="E4" s="537"/>
      <c r="F4" s="537"/>
      <c r="G4" s="537"/>
      <c r="H4" s="537"/>
      <c r="I4" s="537"/>
      <c r="J4" s="537"/>
      <c r="K4" s="537"/>
      <c r="L4" s="537"/>
      <c r="M4" s="537"/>
    </row>
    <row r="5" spans="1:20" ht="68" customHeight="1" x14ac:dyDescent="0.2">
      <c r="A5" s="212" t="s">
        <v>329</v>
      </c>
      <c r="B5" s="658" t="s">
        <v>425</v>
      </c>
      <c r="C5" s="658"/>
      <c r="D5" s="658"/>
      <c r="E5" s="658"/>
      <c r="F5" s="658"/>
      <c r="G5" s="658"/>
      <c r="H5" s="658"/>
      <c r="I5" s="658"/>
      <c r="J5" s="658"/>
      <c r="K5" s="658"/>
      <c r="L5" s="658"/>
      <c r="M5" s="658"/>
    </row>
    <row r="6" spans="1:20" ht="100" customHeight="1" x14ac:dyDescent="0.2">
      <c r="A6" s="212" t="s">
        <v>17</v>
      </c>
      <c r="B6" s="669" t="s">
        <v>426</v>
      </c>
      <c r="C6" s="669"/>
      <c r="D6" s="669"/>
      <c r="E6" s="669"/>
      <c r="F6" s="669"/>
      <c r="G6" s="669"/>
      <c r="H6" s="669"/>
      <c r="I6" s="669"/>
      <c r="J6" s="669"/>
      <c r="K6" s="669"/>
      <c r="L6" s="669"/>
      <c r="M6" s="669"/>
    </row>
    <row r="7" spans="1:20" ht="50" customHeight="1" x14ac:dyDescent="0.2">
      <c r="A7" s="212" t="s">
        <v>19</v>
      </c>
      <c r="B7" s="669" t="s">
        <v>330</v>
      </c>
      <c r="C7" s="669"/>
      <c r="D7" s="669"/>
      <c r="E7" s="669"/>
      <c r="F7" s="669"/>
      <c r="G7" s="669"/>
      <c r="H7" s="669"/>
      <c r="I7" s="669"/>
      <c r="J7" s="669"/>
      <c r="K7" s="669"/>
      <c r="L7" s="669"/>
      <c r="M7" s="669"/>
    </row>
    <row r="8" spans="1:20" ht="67" customHeight="1" x14ac:dyDescent="0.2">
      <c r="A8" s="211" t="s">
        <v>20</v>
      </c>
      <c r="B8" s="664" t="s">
        <v>331</v>
      </c>
      <c r="C8" s="660"/>
      <c r="D8" s="660"/>
      <c r="E8" s="660"/>
      <c r="F8" s="660"/>
      <c r="G8" s="660"/>
      <c r="H8" s="660"/>
      <c r="I8" s="660"/>
      <c r="J8" s="660"/>
      <c r="K8" s="660"/>
      <c r="L8" s="660"/>
      <c r="M8" s="660"/>
    </row>
    <row r="9" spans="1:20" ht="32.75" customHeight="1" x14ac:dyDescent="0.2">
      <c r="A9" s="212" t="s">
        <v>22</v>
      </c>
      <c r="B9" s="658" t="s">
        <v>332</v>
      </c>
      <c r="C9" s="658"/>
      <c r="D9" s="658"/>
      <c r="E9" s="658"/>
      <c r="F9" s="658"/>
      <c r="G9" s="658"/>
      <c r="H9" s="658"/>
      <c r="I9" s="658"/>
      <c r="J9" s="658"/>
      <c r="K9" s="658"/>
      <c r="L9" s="658"/>
      <c r="M9" s="658"/>
      <c r="Q9" s="538"/>
    </row>
    <row r="10" spans="1:20" ht="40" customHeight="1" x14ac:dyDescent="0.2">
      <c r="A10" s="587" t="s">
        <v>577</v>
      </c>
      <c r="B10" s="671" t="s">
        <v>581</v>
      </c>
      <c r="C10" s="671"/>
      <c r="D10" s="671"/>
      <c r="E10" s="671"/>
      <c r="F10" s="671"/>
      <c r="G10" s="671"/>
      <c r="H10" s="671"/>
      <c r="I10" s="671"/>
      <c r="J10" s="671"/>
      <c r="K10" s="671"/>
      <c r="L10" s="671"/>
      <c r="M10" s="671"/>
      <c r="O10" s="459"/>
      <c r="T10" s="459"/>
    </row>
    <row r="11" spans="1:20" ht="73" customHeight="1" x14ac:dyDescent="0.2">
      <c r="A11" s="212" t="s">
        <v>23</v>
      </c>
      <c r="B11" s="658" t="s">
        <v>427</v>
      </c>
      <c r="C11" s="658"/>
      <c r="D11" s="658"/>
      <c r="E11" s="658"/>
      <c r="F11" s="658"/>
      <c r="G11" s="658"/>
      <c r="H11" s="658"/>
      <c r="I11" s="658"/>
      <c r="J11" s="658"/>
      <c r="K11" s="658"/>
      <c r="L11" s="658"/>
      <c r="M11" s="658"/>
      <c r="O11" s="462"/>
      <c r="T11" s="462"/>
    </row>
    <row r="12" spans="1:20" ht="56" customHeight="1" x14ac:dyDescent="0.2">
      <c r="A12" s="212" t="s">
        <v>25</v>
      </c>
      <c r="B12" s="658" t="s">
        <v>333</v>
      </c>
      <c r="C12" s="658"/>
      <c r="D12" s="658"/>
      <c r="E12" s="658"/>
      <c r="F12" s="658"/>
      <c r="G12" s="658"/>
      <c r="H12" s="658"/>
      <c r="I12" s="658"/>
      <c r="J12" s="658"/>
      <c r="K12" s="658"/>
      <c r="L12" s="658"/>
      <c r="M12" s="658"/>
      <c r="O12" s="462"/>
      <c r="T12" s="462"/>
    </row>
    <row r="13" spans="1:20" s="613" customFormat="1" ht="56" customHeight="1" x14ac:dyDescent="0.2">
      <c r="A13" s="211" t="s">
        <v>334</v>
      </c>
      <c r="B13" s="672" t="s">
        <v>335</v>
      </c>
      <c r="C13" s="658"/>
      <c r="D13" s="658"/>
      <c r="E13" s="658"/>
      <c r="F13" s="658"/>
      <c r="G13" s="658"/>
      <c r="H13" s="658"/>
      <c r="I13" s="658"/>
      <c r="J13" s="658"/>
      <c r="K13" s="658"/>
      <c r="L13" s="658"/>
      <c r="M13" s="658"/>
      <c r="N13" s="461"/>
      <c r="O13" s="462"/>
      <c r="T13" s="462"/>
    </row>
    <row r="14" spans="1:20" ht="53" customHeight="1" x14ac:dyDescent="0.2">
      <c r="A14" s="627" t="s">
        <v>609</v>
      </c>
      <c r="B14" s="662" t="s">
        <v>611</v>
      </c>
      <c r="C14" s="663"/>
      <c r="D14" s="663"/>
      <c r="E14" s="663"/>
      <c r="F14" s="663"/>
      <c r="G14" s="663"/>
      <c r="H14" s="663"/>
      <c r="I14" s="663"/>
      <c r="J14" s="663"/>
      <c r="K14" s="663"/>
      <c r="L14" s="663"/>
      <c r="M14" s="663"/>
      <c r="O14" s="462"/>
      <c r="T14" s="462"/>
    </row>
    <row r="15" spans="1:20" ht="48" customHeight="1" x14ac:dyDescent="0.2">
      <c r="A15" s="536" t="s">
        <v>29</v>
      </c>
      <c r="B15" s="214"/>
      <c r="C15" s="214"/>
      <c r="D15" s="214"/>
      <c r="E15" s="214"/>
      <c r="F15" s="214"/>
      <c r="G15" s="214"/>
      <c r="H15" s="214"/>
      <c r="I15" s="214"/>
      <c r="J15" s="214"/>
      <c r="K15" s="214"/>
      <c r="L15" s="214"/>
      <c r="M15" s="214"/>
      <c r="O15" s="462"/>
      <c r="T15" s="462"/>
    </row>
    <row r="16" spans="1:20" ht="48" customHeight="1" x14ac:dyDescent="0.2">
      <c r="A16" s="212" t="s">
        <v>30</v>
      </c>
      <c r="B16" s="658" t="s">
        <v>336</v>
      </c>
      <c r="C16" s="658"/>
      <c r="D16" s="658"/>
      <c r="E16" s="658"/>
      <c r="F16" s="658"/>
      <c r="G16" s="658"/>
      <c r="H16" s="658"/>
      <c r="I16" s="658"/>
      <c r="J16" s="658"/>
      <c r="K16" s="658"/>
      <c r="L16" s="658"/>
      <c r="M16" s="658"/>
      <c r="O16" s="462"/>
      <c r="T16" s="462"/>
    </row>
    <row r="17" spans="1:20" ht="69" customHeight="1" x14ac:dyDescent="0.2">
      <c r="A17" s="212" t="s">
        <v>530</v>
      </c>
      <c r="B17" s="658" t="s">
        <v>529</v>
      </c>
      <c r="C17" s="658"/>
      <c r="D17" s="658"/>
      <c r="E17" s="658"/>
      <c r="F17" s="658"/>
      <c r="G17" s="658"/>
      <c r="H17" s="658"/>
      <c r="I17" s="658"/>
      <c r="J17" s="658"/>
      <c r="K17" s="658"/>
      <c r="L17" s="658"/>
      <c r="M17" s="658"/>
      <c r="O17" s="462"/>
      <c r="T17" s="462"/>
    </row>
    <row r="18" spans="1:20" x14ac:dyDescent="0.2">
      <c r="B18" s="419"/>
      <c r="C18" s="6" t="s">
        <v>337</v>
      </c>
      <c r="D18" s="6"/>
      <c r="E18" s="6"/>
      <c r="F18" s="419"/>
      <c r="G18" s="419"/>
      <c r="H18" s="419"/>
      <c r="I18" s="419"/>
      <c r="J18" s="419"/>
      <c r="K18" s="419"/>
      <c r="L18" s="419"/>
      <c r="M18" s="419"/>
      <c r="O18" s="462"/>
      <c r="T18" s="462"/>
    </row>
    <row r="19" spans="1:20" x14ac:dyDescent="0.2">
      <c r="B19" s="419"/>
      <c r="C19" s="123" t="s">
        <v>148</v>
      </c>
      <c r="D19" s="123" t="s">
        <v>338</v>
      </c>
      <c r="E19" s="123" t="s">
        <v>115</v>
      </c>
      <c r="F19" s="419"/>
      <c r="H19" s="419"/>
      <c r="I19" s="419"/>
      <c r="J19" s="419"/>
      <c r="K19" s="419"/>
      <c r="L19" s="419"/>
      <c r="M19" s="419"/>
      <c r="O19" s="462"/>
      <c r="T19" s="462"/>
    </row>
    <row r="20" spans="1:20" x14ac:dyDescent="0.2">
      <c r="B20" s="419"/>
      <c r="C20" s="109">
        <v>1</v>
      </c>
      <c r="D20" s="110" t="s">
        <v>339</v>
      </c>
      <c r="E20" s="108">
        <v>28</v>
      </c>
      <c r="F20" s="419"/>
      <c r="G20" s="419"/>
      <c r="H20" s="419"/>
      <c r="I20" s="419"/>
      <c r="J20" s="419"/>
      <c r="K20" s="419"/>
      <c r="L20" s="419"/>
      <c r="M20" s="419"/>
      <c r="O20" s="462"/>
      <c r="T20" s="462"/>
    </row>
    <row r="21" spans="1:20" x14ac:dyDescent="0.2">
      <c r="B21" s="419"/>
      <c r="C21" s="109">
        <v>2</v>
      </c>
      <c r="D21" s="110" t="s">
        <v>493</v>
      </c>
      <c r="E21" s="108">
        <v>45</v>
      </c>
      <c r="F21" s="419"/>
      <c r="G21" s="419"/>
      <c r="H21" s="419"/>
      <c r="I21" s="419"/>
      <c r="J21" s="419"/>
      <c r="K21" s="419"/>
      <c r="L21" s="419"/>
      <c r="M21" s="419"/>
      <c r="O21" s="462"/>
      <c r="T21" s="462"/>
    </row>
    <row r="22" spans="1:20" x14ac:dyDescent="0.2">
      <c r="B22" s="419"/>
      <c r="C22" s="109">
        <v>3</v>
      </c>
      <c r="D22" s="110" t="s">
        <v>494</v>
      </c>
      <c r="E22" s="108">
        <v>100</v>
      </c>
      <c r="F22" s="419"/>
      <c r="G22" s="419"/>
      <c r="H22" s="419"/>
      <c r="I22" s="419"/>
      <c r="J22" s="419"/>
      <c r="K22" s="419"/>
      <c r="L22" s="419"/>
      <c r="M22" s="419"/>
      <c r="O22" s="462"/>
      <c r="T22" s="462"/>
    </row>
    <row r="23" spans="1:20" x14ac:dyDescent="0.2">
      <c r="B23" s="419"/>
      <c r="C23" s="109">
        <v>4</v>
      </c>
      <c r="D23" s="110" t="s">
        <v>495</v>
      </c>
      <c r="E23" s="108">
        <v>175</v>
      </c>
      <c r="F23" s="419"/>
      <c r="G23" s="419"/>
      <c r="H23" s="419"/>
      <c r="I23" s="419"/>
      <c r="J23" s="419"/>
      <c r="K23" s="419"/>
      <c r="L23" s="419"/>
      <c r="M23" s="419"/>
      <c r="O23" s="462"/>
      <c r="T23" s="462"/>
    </row>
    <row r="24" spans="1:20" ht="15" customHeight="1" x14ac:dyDescent="0.2">
      <c r="B24" s="419"/>
      <c r="C24" s="124"/>
      <c r="D24" s="6"/>
      <c r="E24" s="6"/>
      <c r="F24" s="419"/>
      <c r="G24" s="419"/>
      <c r="H24" s="419"/>
      <c r="I24" s="419"/>
      <c r="J24" s="419"/>
      <c r="K24" s="419"/>
      <c r="L24" s="419"/>
      <c r="M24" s="419"/>
      <c r="O24" s="462"/>
      <c r="T24" s="462"/>
    </row>
    <row r="25" spans="1:20" s="585" customFormat="1" ht="84.25" customHeight="1" x14ac:dyDescent="0.2">
      <c r="A25" s="212" t="s">
        <v>582</v>
      </c>
      <c r="B25" s="658" t="s">
        <v>585</v>
      </c>
      <c r="C25" s="658"/>
      <c r="D25" s="658"/>
      <c r="E25" s="658"/>
      <c r="F25" s="658"/>
      <c r="G25" s="658"/>
      <c r="H25" s="658"/>
      <c r="I25" s="658"/>
      <c r="J25" s="658"/>
      <c r="K25" s="658"/>
      <c r="L25" s="658"/>
      <c r="M25" s="658"/>
      <c r="N25" s="461"/>
      <c r="O25" s="462"/>
      <c r="T25" s="462"/>
    </row>
    <row r="26" spans="1:20" ht="85" customHeight="1" x14ac:dyDescent="0.2">
      <c r="A26" s="212" t="s">
        <v>583</v>
      </c>
      <c r="B26" s="658" t="s">
        <v>584</v>
      </c>
      <c r="C26" s="658"/>
      <c r="D26" s="658"/>
      <c r="E26" s="658"/>
      <c r="F26" s="658"/>
      <c r="G26" s="658"/>
      <c r="H26" s="658"/>
      <c r="I26" s="658"/>
      <c r="J26" s="658"/>
      <c r="K26" s="658"/>
      <c r="L26" s="658"/>
      <c r="M26" s="658"/>
      <c r="O26" s="459"/>
      <c r="T26" s="462"/>
    </row>
    <row r="27" spans="1:20" ht="119" customHeight="1" x14ac:dyDescent="0.2">
      <c r="A27" s="212" t="s">
        <v>32</v>
      </c>
      <c r="B27" s="670" t="s">
        <v>608</v>
      </c>
      <c r="C27" s="670"/>
      <c r="D27" s="670"/>
      <c r="E27" s="670"/>
      <c r="F27" s="670"/>
      <c r="G27" s="670"/>
      <c r="H27" s="670"/>
      <c r="I27" s="670"/>
      <c r="J27" s="670"/>
      <c r="K27" s="670"/>
      <c r="L27" s="670"/>
      <c r="M27" s="670"/>
      <c r="O27" s="462"/>
      <c r="T27" s="462"/>
    </row>
    <row r="28" spans="1:20" ht="70" customHeight="1" x14ac:dyDescent="0.2">
      <c r="A28" s="212" t="s">
        <v>520</v>
      </c>
      <c r="B28" s="658" t="s">
        <v>607</v>
      </c>
      <c r="C28" s="658"/>
      <c r="D28" s="658"/>
      <c r="E28" s="658"/>
      <c r="F28" s="658"/>
      <c r="G28" s="658"/>
      <c r="H28" s="658"/>
      <c r="I28" s="658"/>
      <c r="J28" s="658"/>
      <c r="K28" s="658"/>
      <c r="L28" s="658"/>
      <c r="M28" s="658"/>
      <c r="O28" s="462"/>
      <c r="T28" s="462"/>
    </row>
    <row r="29" spans="1:20" ht="117.25" customHeight="1" x14ac:dyDescent="0.2">
      <c r="A29" s="212" t="s">
        <v>521</v>
      </c>
      <c r="B29" s="658" t="s">
        <v>606</v>
      </c>
      <c r="C29" s="658"/>
      <c r="D29" s="658"/>
      <c r="E29" s="658"/>
      <c r="F29" s="658"/>
      <c r="G29" s="658"/>
      <c r="H29" s="658"/>
      <c r="I29" s="658"/>
      <c r="J29" s="658"/>
      <c r="K29" s="658"/>
      <c r="L29" s="658"/>
      <c r="M29" s="658"/>
      <c r="O29" s="462"/>
      <c r="T29" s="462"/>
    </row>
    <row r="30" spans="1:20" ht="71" customHeight="1" x14ac:dyDescent="0.2">
      <c r="A30" s="212" t="s">
        <v>35</v>
      </c>
      <c r="B30" s="673" t="s">
        <v>522</v>
      </c>
      <c r="C30" s="673"/>
      <c r="D30" s="673"/>
      <c r="E30" s="673"/>
      <c r="F30" s="673"/>
      <c r="G30" s="673"/>
      <c r="H30" s="673"/>
      <c r="I30" s="673"/>
      <c r="J30" s="673"/>
      <c r="K30" s="673"/>
      <c r="L30" s="673"/>
      <c r="M30" s="673"/>
      <c r="O30" s="462"/>
      <c r="T30" s="462"/>
    </row>
    <row r="31" spans="1:20" x14ac:dyDescent="0.2">
      <c r="C31" s="78" t="s">
        <v>523</v>
      </c>
      <c r="O31" s="462"/>
      <c r="T31" s="462"/>
    </row>
    <row r="32" spans="1:20" x14ac:dyDescent="0.2">
      <c r="B32" s="420"/>
      <c r="C32" s="123" t="s">
        <v>497</v>
      </c>
      <c r="D32" s="123" t="s">
        <v>340</v>
      </c>
      <c r="E32" s="123" t="s">
        <v>341</v>
      </c>
      <c r="F32" s="123" t="s">
        <v>342</v>
      </c>
      <c r="G32" s="539" t="s">
        <v>456</v>
      </c>
      <c r="O32" s="462"/>
      <c r="T32" s="462"/>
    </row>
    <row r="33" spans="1:20" x14ac:dyDescent="0.2">
      <c r="B33" s="208"/>
      <c r="C33" s="109">
        <v>1</v>
      </c>
      <c r="D33" s="540" t="s">
        <v>446</v>
      </c>
      <c r="E33" s="111">
        <v>0.34</v>
      </c>
      <c r="F33" s="111">
        <v>0.16</v>
      </c>
      <c r="G33" s="448">
        <v>0.03</v>
      </c>
      <c r="O33" s="462"/>
      <c r="T33" s="462"/>
    </row>
    <row r="34" spans="1:20" x14ac:dyDescent="0.2">
      <c r="B34" s="78"/>
      <c r="C34" s="109">
        <v>2</v>
      </c>
      <c r="D34" s="540" t="s">
        <v>447</v>
      </c>
      <c r="E34" s="111">
        <v>0.27</v>
      </c>
      <c r="F34" s="111">
        <v>0.13</v>
      </c>
      <c r="G34" s="448">
        <v>3.3300000000000003E-2</v>
      </c>
      <c r="O34" s="462"/>
      <c r="T34" s="462"/>
    </row>
    <row r="35" spans="1:20" x14ac:dyDescent="0.2">
      <c r="B35" s="210"/>
      <c r="C35" s="109">
        <v>3</v>
      </c>
      <c r="D35" s="540" t="s">
        <v>448</v>
      </c>
      <c r="E35" s="111">
        <v>0.2</v>
      </c>
      <c r="F35" s="111">
        <v>0.1</v>
      </c>
      <c r="G35" s="448">
        <v>3.6700000000000003E-2</v>
      </c>
      <c r="O35" s="462"/>
      <c r="T35" s="462"/>
    </row>
    <row r="36" spans="1:20" x14ac:dyDescent="0.2">
      <c r="B36" s="78"/>
      <c r="C36" s="109">
        <v>4</v>
      </c>
      <c r="D36" s="540" t="s">
        <v>449</v>
      </c>
      <c r="E36" s="111">
        <v>0.13</v>
      </c>
      <c r="F36" s="111">
        <v>7.0000000000000007E-2</v>
      </c>
      <c r="G36" s="449">
        <v>0.04</v>
      </c>
      <c r="O36" s="462"/>
      <c r="T36" s="462"/>
    </row>
    <row r="37" spans="1:20" x14ac:dyDescent="0.2">
      <c r="B37" s="209"/>
      <c r="C37" s="109">
        <v>5</v>
      </c>
      <c r="D37" s="540" t="s">
        <v>450</v>
      </c>
      <c r="E37" s="112">
        <v>6.5000000000000002E-2</v>
      </c>
      <c r="F37" s="112">
        <v>3.5000000000000003E-2</v>
      </c>
      <c r="G37" s="448">
        <v>4.3299999999999998E-2</v>
      </c>
      <c r="O37" s="462"/>
      <c r="T37" s="462"/>
    </row>
    <row r="38" spans="1:20" x14ac:dyDescent="0.2">
      <c r="B38" s="209"/>
      <c r="C38" s="109">
        <v>6</v>
      </c>
      <c r="D38" s="540" t="s">
        <v>451</v>
      </c>
      <c r="E38" s="113">
        <v>0</v>
      </c>
      <c r="F38" s="112">
        <v>3.5000000000000003E-2</v>
      </c>
      <c r="G38" s="448">
        <v>4.6699999999999998E-2</v>
      </c>
      <c r="O38" s="462"/>
      <c r="T38" s="462"/>
    </row>
    <row r="39" spans="1:20" x14ac:dyDescent="0.2">
      <c r="B39" s="78"/>
      <c r="C39" s="109">
        <v>7</v>
      </c>
      <c r="D39" s="541" t="s">
        <v>453</v>
      </c>
      <c r="E39" s="111">
        <v>-0.1</v>
      </c>
      <c r="F39" s="112">
        <v>3.5000000000000003E-2</v>
      </c>
      <c r="G39" s="450">
        <v>0.05</v>
      </c>
      <c r="O39" s="462"/>
      <c r="T39" s="462"/>
    </row>
    <row r="40" spans="1:20" ht="21" customHeight="1" x14ac:dyDescent="0.2">
      <c r="B40" s="130" t="s">
        <v>524</v>
      </c>
      <c r="D40" s="6"/>
      <c r="E40" s="6"/>
      <c r="F40" s="6" t="s">
        <v>498</v>
      </c>
      <c r="O40" s="462"/>
      <c r="T40" s="462"/>
    </row>
    <row r="41" spans="1:20" ht="66" customHeight="1" x14ac:dyDescent="0.2">
      <c r="A41" s="212" t="s">
        <v>37</v>
      </c>
      <c r="B41" s="660" t="s">
        <v>432</v>
      </c>
      <c r="C41" s="660"/>
      <c r="D41" s="660"/>
      <c r="E41" s="660"/>
      <c r="F41" s="660"/>
      <c r="G41" s="660"/>
      <c r="H41" s="660"/>
      <c r="I41" s="660"/>
      <c r="J41" s="660"/>
      <c r="K41" s="660"/>
      <c r="L41" s="660"/>
      <c r="M41" s="660"/>
      <c r="O41" s="462"/>
      <c r="T41" s="462"/>
    </row>
    <row r="42" spans="1:20" ht="43" customHeight="1" x14ac:dyDescent="0.2">
      <c r="A42" s="213" t="s">
        <v>343</v>
      </c>
      <c r="B42" s="660" t="s">
        <v>443</v>
      </c>
      <c r="C42" s="660"/>
      <c r="D42" s="660"/>
      <c r="E42" s="660"/>
      <c r="F42" s="660"/>
      <c r="G42" s="660"/>
      <c r="H42" s="660"/>
      <c r="I42" s="660"/>
      <c r="J42" s="660"/>
      <c r="K42" s="660"/>
      <c r="L42" s="660"/>
      <c r="M42" s="660"/>
      <c r="O42" s="462"/>
      <c r="T42" s="462"/>
    </row>
    <row r="43" spans="1:20" ht="36" customHeight="1" x14ac:dyDescent="0.2">
      <c r="A43" s="542" t="s">
        <v>344</v>
      </c>
      <c r="B43" s="421"/>
      <c r="C43" s="421"/>
      <c r="D43" s="421"/>
      <c r="E43" s="421"/>
      <c r="F43" s="421"/>
      <c r="G43" s="421"/>
      <c r="H43" s="421"/>
      <c r="I43" s="421"/>
      <c r="J43" s="421"/>
      <c r="K43" s="421"/>
      <c r="L43" s="421"/>
      <c r="M43" s="421"/>
      <c r="O43" s="462"/>
      <c r="T43" s="462"/>
    </row>
    <row r="44" spans="1:20" ht="39" customHeight="1" x14ac:dyDescent="0.2">
      <c r="A44" s="212" t="s">
        <v>499</v>
      </c>
      <c r="B44" s="660" t="s">
        <v>428</v>
      </c>
      <c r="C44" s="660"/>
      <c r="D44" s="660"/>
      <c r="E44" s="660"/>
      <c r="F44" s="660"/>
      <c r="G44" s="660"/>
      <c r="H44" s="660"/>
      <c r="I44" s="660"/>
      <c r="J44" s="660"/>
      <c r="K44" s="660"/>
      <c r="L44" s="660"/>
      <c r="M44" s="660"/>
      <c r="O44" s="462"/>
      <c r="T44" s="462"/>
    </row>
    <row r="45" spans="1:20" s="463" customFormat="1" ht="48" customHeight="1" x14ac:dyDescent="0.2">
      <c r="A45" s="536" t="s">
        <v>47</v>
      </c>
      <c r="B45" s="421"/>
      <c r="C45" s="421"/>
      <c r="D45" s="421"/>
      <c r="E45" s="421"/>
      <c r="F45" s="421"/>
      <c r="G45" s="421"/>
      <c r="H45" s="421"/>
      <c r="I45" s="421"/>
      <c r="J45" s="421"/>
      <c r="K45" s="421"/>
      <c r="L45" s="421"/>
      <c r="M45" s="421"/>
      <c r="N45" s="461"/>
      <c r="O45" s="462"/>
      <c r="T45" s="462"/>
    </row>
    <row r="46" spans="1:20" ht="52.5" customHeight="1" x14ac:dyDescent="0.2">
      <c r="A46" s="460" t="s">
        <v>345</v>
      </c>
      <c r="B46" s="660" t="s">
        <v>346</v>
      </c>
      <c r="C46" s="660"/>
      <c r="D46" s="660"/>
      <c r="E46" s="660"/>
      <c r="F46" s="660"/>
      <c r="G46" s="660"/>
      <c r="H46" s="660"/>
      <c r="I46" s="660"/>
      <c r="J46" s="660"/>
      <c r="K46" s="660"/>
      <c r="L46" s="660"/>
      <c r="M46" s="660"/>
      <c r="O46" s="462"/>
      <c r="T46" s="462"/>
    </row>
    <row r="47" spans="1:20" ht="58" customHeight="1" x14ac:dyDescent="0.2">
      <c r="A47" s="212" t="s">
        <v>347</v>
      </c>
      <c r="B47" s="660" t="s">
        <v>348</v>
      </c>
      <c r="C47" s="660"/>
      <c r="D47" s="660"/>
      <c r="E47" s="660"/>
      <c r="F47" s="660"/>
      <c r="G47" s="660"/>
      <c r="H47" s="660"/>
      <c r="I47" s="660"/>
      <c r="J47" s="660"/>
      <c r="K47" s="660"/>
      <c r="L47" s="660"/>
      <c r="M47" s="660"/>
      <c r="O47" s="462"/>
      <c r="T47" s="462"/>
    </row>
    <row r="48" spans="1:20" ht="46" customHeight="1" x14ac:dyDescent="0.2">
      <c r="A48" s="212" t="s">
        <v>349</v>
      </c>
      <c r="B48" s="659" t="s">
        <v>612</v>
      </c>
      <c r="C48" s="659"/>
      <c r="D48" s="659"/>
      <c r="E48" s="659"/>
      <c r="F48" s="659"/>
      <c r="G48" s="659"/>
      <c r="H48" s="659"/>
      <c r="I48" s="659"/>
      <c r="J48" s="659"/>
      <c r="K48" s="659"/>
      <c r="L48" s="659"/>
      <c r="M48" s="659"/>
      <c r="O48" s="462"/>
      <c r="T48" s="462"/>
    </row>
    <row r="49" spans="1:20" ht="59" customHeight="1" x14ac:dyDescent="0.2">
      <c r="A49" s="212" t="s">
        <v>49</v>
      </c>
      <c r="B49" s="660" t="s">
        <v>442</v>
      </c>
      <c r="C49" s="660"/>
      <c r="D49" s="660"/>
      <c r="E49" s="660"/>
      <c r="F49" s="660"/>
      <c r="G49" s="660"/>
      <c r="H49" s="660"/>
      <c r="I49" s="660"/>
      <c r="J49" s="660"/>
      <c r="K49" s="660"/>
      <c r="L49" s="660"/>
      <c r="M49" s="660"/>
      <c r="O49" s="462"/>
      <c r="T49" s="462"/>
    </row>
    <row r="50" spans="1:20" ht="114.5" customHeight="1" x14ac:dyDescent="0.2">
      <c r="A50" s="212" t="s">
        <v>350</v>
      </c>
      <c r="B50" s="659" t="s">
        <v>613</v>
      </c>
      <c r="C50" s="659"/>
      <c r="D50" s="659"/>
      <c r="E50" s="659"/>
      <c r="F50" s="659"/>
      <c r="G50" s="659"/>
      <c r="H50" s="659"/>
      <c r="I50" s="659"/>
      <c r="J50" s="659"/>
      <c r="K50" s="659"/>
      <c r="L50" s="659"/>
      <c r="M50" s="659"/>
      <c r="O50" s="462"/>
      <c r="T50" s="462"/>
    </row>
    <row r="51" spans="1:20" ht="55" customHeight="1" x14ac:dyDescent="0.2">
      <c r="A51" s="465" t="s">
        <v>59</v>
      </c>
      <c r="B51" s="660" t="s">
        <v>351</v>
      </c>
      <c r="C51" s="660"/>
      <c r="D51" s="660"/>
      <c r="E51" s="660"/>
      <c r="F51" s="660"/>
      <c r="G51" s="660"/>
      <c r="H51" s="660"/>
      <c r="I51" s="660"/>
      <c r="J51" s="660"/>
      <c r="K51" s="660"/>
      <c r="L51" s="660"/>
      <c r="M51" s="660"/>
      <c r="O51" s="462"/>
      <c r="T51" s="462"/>
    </row>
    <row r="52" spans="1:20" ht="104" customHeight="1" x14ac:dyDescent="0.2">
      <c r="A52" s="341"/>
      <c r="B52" s="660" t="s">
        <v>352</v>
      </c>
      <c r="C52" s="660"/>
      <c r="D52" s="660"/>
      <c r="E52" s="660"/>
      <c r="F52" s="660"/>
      <c r="G52" s="660"/>
      <c r="H52" s="660"/>
      <c r="I52" s="660"/>
      <c r="J52" s="660"/>
      <c r="K52" s="660"/>
      <c r="L52" s="660"/>
      <c r="M52" s="660"/>
      <c r="O52" s="462"/>
      <c r="T52" s="462"/>
    </row>
    <row r="53" spans="1:20" ht="157" customHeight="1" x14ac:dyDescent="0.2">
      <c r="A53" s="212" t="s">
        <v>429</v>
      </c>
      <c r="B53" s="660" t="s">
        <v>586</v>
      </c>
      <c r="C53" s="660"/>
      <c r="D53" s="660"/>
      <c r="E53" s="660"/>
      <c r="F53" s="660"/>
      <c r="G53" s="660"/>
      <c r="H53" s="660"/>
      <c r="I53" s="660"/>
      <c r="J53" s="660"/>
      <c r="K53" s="660"/>
      <c r="L53" s="660"/>
      <c r="M53" s="660"/>
      <c r="O53" s="462"/>
      <c r="T53" s="462"/>
    </row>
    <row r="54" spans="1:20" s="215" customFormat="1" ht="233" customHeight="1" x14ac:dyDescent="0.2">
      <c r="A54" s="212"/>
      <c r="B54" s="660" t="s">
        <v>587</v>
      </c>
      <c r="C54" s="660"/>
      <c r="D54" s="660"/>
      <c r="E54" s="660"/>
      <c r="F54" s="660"/>
      <c r="G54" s="660"/>
      <c r="H54" s="660"/>
      <c r="I54" s="660"/>
      <c r="J54" s="660"/>
      <c r="K54" s="660"/>
      <c r="L54" s="660"/>
      <c r="M54" s="660"/>
      <c r="N54" s="225"/>
      <c r="O54" s="462"/>
    </row>
    <row r="55" spans="1:20" ht="20" x14ac:dyDescent="0.2">
      <c r="A55" s="217" t="s">
        <v>353</v>
      </c>
      <c r="B55" s="667"/>
      <c r="C55" s="667"/>
      <c r="D55" s="667"/>
      <c r="E55" s="667"/>
      <c r="F55" s="667"/>
      <c r="G55" s="667"/>
      <c r="H55" s="667"/>
      <c r="I55" s="667"/>
      <c r="J55" s="667"/>
      <c r="K55" s="667"/>
      <c r="L55" s="667"/>
      <c r="M55" s="667"/>
      <c r="O55" s="462"/>
    </row>
    <row r="56" spans="1:20" ht="34" customHeight="1" x14ac:dyDescent="0.2">
      <c r="A56" s="536" t="s">
        <v>66</v>
      </c>
      <c r="B56" s="421"/>
      <c r="C56" s="421"/>
      <c r="D56" s="421"/>
      <c r="E56" s="421"/>
      <c r="F56" s="421"/>
      <c r="G56" s="421"/>
      <c r="H56" s="421"/>
      <c r="I56" s="421"/>
      <c r="J56" s="421"/>
      <c r="K56" s="421"/>
      <c r="L56" s="421"/>
      <c r="M56" s="421"/>
      <c r="O56" s="459"/>
    </row>
    <row r="57" spans="1:20" ht="43" customHeight="1" x14ac:dyDescent="0.2">
      <c r="A57" s="212" t="s">
        <v>67</v>
      </c>
      <c r="B57" s="660" t="s">
        <v>500</v>
      </c>
      <c r="C57" s="660"/>
      <c r="D57" s="660"/>
      <c r="E57" s="660"/>
      <c r="F57" s="660"/>
      <c r="G57" s="660"/>
      <c r="H57" s="660"/>
      <c r="I57" s="660"/>
      <c r="J57" s="660"/>
      <c r="K57" s="660"/>
      <c r="L57" s="660"/>
      <c r="M57" s="660"/>
      <c r="O57" s="462"/>
    </row>
    <row r="58" spans="1:20" ht="96.5" customHeight="1" x14ac:dyDescent="0.2">
      <c r="A58" s="212" t="s">
        <v>69</v>
      </c>
      <c r="B58" s="660" t="s">
        <v>549</v>
      </c>
      <c r="C58" s="660"/>
      <c r="D58" s="660"/>
      <c r="E58" s="660"/>
      <c r="F58" s="660"/>
      <c r="G58" s="660"/>
      <c r="H58" s="660"/>
      <c r="I58" s="660"/>
      <c r="J58" s="660"/>
      <c r="K58" s="660"/>
      <c r="L58" s="660"/>
      <c r="M58" s="660"/>
      <c r="O58" s="462"/>
    </row>
    <row r="59" spans="1:20" ht="49" customHeight="1" x14ac:dyDescent="0.2">
      <c r="A59" s="212" t="s">
        <v>430</v>
      </c>
      <c r="B59" s="658" t="s">
        <v>501</v>
      </c>
      <c r="C59" s="658"/>
      <c r="D59" s="658"/>
      <c r="E59" s="658"/>
      <c r="F59" s="658"/>
      <c r="G59" s="658"/>
      <c r="H59" s="658"/>
      <c r="I59" s="658"/>
      <c r="J59" s="658"/>
      <c r="K59" s="658"/>
      <c r="L59" s="658"/>
      <c r="M59" s="658"/>
      <c r="O59" s="462"/>
    </row>
    <row r="60" spans="1:20" ht="60" customHeight="1" x14ac:dyDescent="0.2">
      <c r="A60" s="212" t="s">
        <v>525</v>
      </c>
      <c r="B60" s="658" t="s">
        <v>526</v>
      </c>
      <c r="C60" s="658"/>
      <c r="D60" s="658"/>
      <c r="E60" s="658"/>
      <c r="F60" s="658"/>
      <c r="G60" s="658"/>
      <c r="H60" s="658"/>
      <c r="I60" s="658"/>
      <c r="J60" s="658"/>
      <c r="K60" s="658"/>
      <c r="L60" s="658"/>
      <c r="M60" s="658"/>
      <c r="O60" s="462"/>
    </row>
    <row r="61" spans="1:20" ht="107" customHeight="1" x14ac:dyDescent="0.2">
      <c r="A61" s="61" t="s">
        <v>354</v>
      </c>
      <c r="B61" s="658" t="s">
        <v>527</v>
      </c>
      <c r="C61" s="658"/>
      <c r="D61" s="658"/>
      <c r="E61" s="658"/>
      <c r="F61" s="658"/>
      <c r="G61" s="658"/>
      <c r="H61" s="658"/>
      <c r="I61" s="658"/>
      <c r="J61" s="658"/>
      <c r="K61" s="658"/>
      <c r="L61" s="658"/>
      <c r="M61" s="658"/>
      <c r="O61" s="462"/>
    </row>
    <row r="62" spans="1:20" ht="40" customHeight="1" x14ac:dyDescent="0.2">
      <c r="A62" s="61" t="s">
        <v>72</v>
      </c>
      <c r="B62" s="658" t="s">
        <v>528</v>
      </c>
      <c r="C62" s="658"/>
      <c r="D62" s="658"/>
      <c r="E62" s="658"/>
      <c r="F62" s="658"/>
      <c r="G62" s="658"/>
      <c r="H62" s="658"/>
      <c r="I62" s="658"/>
      <c r="J62" s="658"/>
      <c r="K62" s="658"/>
      <c r="L62" s="658"/>
      <c r="M62" s="658"/>
      <c r="O62" s="462"/>
    </row>
    <row r="63" spans="1:20" ht="36.25" customHeight="1" x14ac:dyDescent="0.2">
      <c r="A63" s="536" t="s">
        <v>502</v>
      </c>
      <c r="B63" s="665"/>
      <c r="C63" s="665"/>
      <c r="D63" s="665"/>
      <c r="E63" s="665"/>
      <c r="F63" s="665"/>
      <c r="G63" s="665"/>
      <c r="H63" s="665"/>
      <c r="I63" s="665"/>
      <c r="J63" s="665"/>
      <c r="K63" s="665"/>
      <c r="L63" s="665"/>
      <c r="M63" s="665"/>
      <c r="O63" s="462"/>
    </row>
    <row r="64" spans="1:20" ht="53.5" customHeight="1" x14ac:dyDescent="0.2">
      <c r="A64" s="212" t="s">
        <v>74</v>
      </c>
      <c r="B64" s="658" t="s">
        <v>355</v>
      </c>
      <c r="C64" s="658"/>
      <c r="D64" s="658"/>
      <c r="E64" s="658"/>
      <c r="F64" s="658"/>
      <c r="G64" s="658"/>
      <c r="H64" s="658"/>
      <c r="I64" s="658"/>
      <c r="J64" s="658"/>
      <c r="K64" s="658"/>
      <c r="L64" s="658"/>
      <c r="M64" s="658"/>
      <c r="O64" s="462"/>
    </row>
    <row r="65" spans="1:15" ht="54.25" customHeight="1" x14ac:dyDescent="0.2">
      <c r="A65" s="212" t="s">
        <v>488</v>
      </c>
      <c r="B65" s="658" t="s">
        <v>503</v>
      </c>
      <c r="C65" s="658"/>
      <c r="D65" s="658"/>
      <c r="E65" s="658"/>
      <c r="F65" s="658"/>
      <c r="G65" s="658"/>
      <c r="H65" s="658"/>
      <c r="I65" s="658"/>
      <c r="J65" s="658"/>
      <c r="K65" s="658"/>
      <c r="L65" s="658"/>
      <c r="M65" s="658"/>
      <c r="O65" s="462"/>
    </row>
    <row r="66" spans="1:15" ht="34.75" customHeight="1" x14ac:dyDescent="0.2">
      <c r="A66" s="212" t="s">
        <v>76</v>
      </c>
      <c r="B66" s="658" t="s">
        <v>496</v>
      </c>
      <c r="C66" s="658"/>
      <c r="D66" s="658"/>
      <c r="E66" s="658"/>
      <c r="F66" s="658"/>
      <c r="G66" s="658"/>
      <c r="H66" s="658"/>
      <c r="I66" s="658"/>
      <c r="J66" s="658"/>
      <c r="K66" s="658"/>
      <c r="L66" s="658"/>
      <c r="M66" s="658"/>
      <c r="O66" s="462"/>
    </row>
    <row r="67" spans="1:15" ht="36.25" customHeight="1" x14ac:dyDescent="0.2">
      <c r="A67" s="61" t="s">
        <v>506</v>
      </c>
      <c r="B67" s="660" t="s">
        <v>507</v>
      </c>
      <c r="C67" s="660"/>
      <c r="D67" s="660"/>
      <c r="E67" s="660"/>
      <c r="F67" s="660"/>
      <c r="G67" s="660"/>
      <c r="H67" s="660"/>
      <c r="I67" s="660"/>
      <c r="J67" s="660"/>
      <c r="K67" s="660"/>
      <c r="L67" s="660"/>
      <c r="M67" s="660"/>
      <c r="O67" s="462"/>
    </row>
    <row r="68" spans="1:15" ht="28.25" customHeight="1" x14ac:dyDescent="0.2">
      <c r="A68" s="211" t="s">
        <v>519</v>
      </c>
      <c r="B68" s="664" t="s">
        <v>508</v>
      </c>
      <c r="C68" s="660"/>
      <c r="D68" s="660"/>
      <c r="E68" s="660"/>
      <c r="F68" s="660"/>
      <c r="G68" s="660"/>
      <c r="H68" s="660"/>
      <c r="I68" s="660"/>
      <c r="J68" s="660"/>
      <c r="K68" s="660"/>
      <c r="L68" s="660"/>
      <c r="M68" s="660"/>
      <c r="O68" s="462"/>
    </row>
    <row r="69" spans="1:15" ht="28" customHeight="1" x14ac:dyDescent="0.2">
      <c r="A69" s="211" t="s">
        <v>73</v>
      </c>
      <c r="B69" s="664" t="s">
        <v>356</v>
      </c>
      <c r="C69" s="660"/>
      <c r="D69" s="660"/>
      <c r="E69" s="660"/>
      <c r="F69" s="660"/>
      <c r="G69" s="660"/>
      <c r="H69" s="660"/>
      <c r="I69" s="660"/>
      <c r="J69" s="660"/>
      <c r="K69" s="660"/>
      <c r="L69" s="660"/>
      <c r="M69" s="660"/>
      <c r="O69" s="462"/>
    </row>
    <row r="70" spans="1:15" ht="53.75" customHeight="1" x14ac:dyDescent="0.2">
      <c r="A70" s="343" t="s">
        <v>509</v>
      </c>
      <c r="B70" s="660" t="s">
        <v>518</v>
      </c>
      <c r="C70" s="660"/>
      <c r="D70" s="660"/>
      <c r="E70" s="660"/>
      <c r="F70" s="660"/>
      <c r="G70" s="660"/>
      <c r="H70" s="660"/>
      <c r="I70" s="660"/>
      <c r="J70" s="660"/>
      <c r="K70" s="660"/>
      <c r="L70" s="660"/>
      <c r="M70" s="660"/>
      <c r="O70" s="462"/>
    </row>
    <row r="71" spans="1:15" ht="67.75" customHeight="1" x14ac:dyDescent="0.2">
      <c r="A71" s="343" t="s">
        <v>510</v>
      </c>
      <c r="B71" s="660" t="s">
        <v>516</v>
      </c>
      <c r="C71" s="660"/>
      <c r="D71" s="660"/>
      <c r="E71" s="660"/>
      <c r="F71" s="660"/>
      <c r="G71" s="660"/>
      <c r="H71" s="660"/>
      <c r="I71" s="660"/>
      <c r="J71" s="660"/>
      <c r="K71" s="660"/>
      <c r="L71" s="660"/>
      <c r="M71" s="660"/>
      <c r="O71" s="462"/>
    </row>
    <row r="72" spans="1:15" ht="34" customHeight="1" x14ac:dyDescent="0.2">
      <c r="A72" s="343" t="s">
        <v>511</v>
      </c>
      <c r="B72" s="660" t="s">
        <v>517</v>
      </c>
      <c r="C72" s="660"/>
      <c r="D72" s="660"/>
      <c r="E72" s="660"/>
      <c r="F72" s="660"/>
      <c r="G72" s="660"/>
      <c r="H72" s="660"/>
      <c r="I72" s="660"/>
      <c r="J72" s="660"/>
      <c r="K72" s="660"/>
      <c r="L72" s="660"/>
      <c r="M72" s="660"/>
      <c r="O72" s="462"/>
    </row>
    <row r="73" spans="1:15" ht="50" customHeight="1" x14ac:dyDescent="0.2">
      <c r="A73" s="212" t="s">
        <v>512</v>
      </c>
      <c r="B73" s="660" t="s">
        <v>357</v>
      </c>
      <c r="C73" s="660"/>
      <c r="D73" s="660"/>
      <c r="E73" s="660"/>
      <c r="F73" s="660"/>
      <c r="G73" s="660"/>
      <c r="H73" s="660"/>
      <c r="I73" s="660"/>
      <c r="J73" s="660"/>
      <c r="K73" s="660"/>
      <c r="L73" s="660"/>
      <c r="M73" s="660"/>
      <c r="O73" s="462"/>
    </row>
    <row r="74" spans="1:15" ht="43" customHeight="1" x14ac:dyDescent="0.2">
      <c r="A74" s="212" t="s">
        <v>513</v>
      </c>
      <c r="B74" s="660" t="s">
        <v>358</v>
      </c>
      <c r="C74" s="660"/>
      <c r="D74" s="660"/>
      <c r="E74" s="660"/>
      <c r="F74" s="660"/>
      <c r="G74" s="660"/>
      <c r="H74" s="660"/>
      <c r="I74" s="660"/>
      <c r="J74" s="660"/>
      <c r="K74" s="660"/>
      <c r="L74" s="660"/>
      <c r="M74" s="660"/>
      <c r="O74" s="462"/>
    </row>
    <row r="75" spans="1:15" s="215" customFormat="1" ht="49.25" customHeight="1" x14ac:dyDescent="0.2">
      <c r="A75" s="212" t="s">
        <v>359</v>
      </c>
      <c r="B75" s="660" t="s">
        <v>360</v>
      </c>
      <c r="C75" s="660"/>
      <c r="D75" s="660"/>
      <c r="E75" s="660"/>
      <c r="F75" s="660"/>
      <c r="G75" s="660"/>
      <c r="H75" s="660"/>
      <c r="I75" s="660"/>
      <c r="J75" s="660"/>
      <c r="K75" s="660"/>
      <c r="L75" s="660"/>
      <c r="M75" s="660"/>
      <c r="N75" s="225"/>
      <c r="O75" s="462"/>
    </row>
    <row r="76" spans="1:15" ht="20" hidden="1" x14ac:dyDescent="0.2">
      <c r="A76" s="217" t="s">
        <v>84</v>
      </c>
      <c r="B76" s="667"/>
      <c r="C76" s="667"/>
      <c r="D76" s="667"/>
      <c r="E76" s="667"/>
      <c r="F76" s="667"/>
      <c r="G76" s="667"/>
      <c r="H76" s="667"/>
      <c r="I76" s="667"/>
      <c r="J76" s="667"/>
      <c r="K76" s="667"/>
      <c r="L76" s="667"/>
      <c r="M76" s="667"/>
      <c r="O76" s="462"/>
    </row>
    <row r="77" spans="1:15" ht="34" hidden="1" customHeight="1" x14ac:dyDescent="0.2">
      <c r="A77" s="543" t="s">
        <v>361</v>
      </c>
      <c r="B77" s="421"/>
      <c r="C77" s="421"/>
      <c r="D77" s="421"/>
      <c r="E77" s="421"/>
      <c r="F77" s="421"/>
      <c r="G77" s="421"/>
      <c r="H77" s="421"/>
      <c r="I77" s="421"/>
      <c r="J77" s="421"/>
      <c r="K77" s="421"/>
      <c r="L77" s="421"/>
      <c r="M77" s="421"/>
      <c r="O77" s="462"/>
    </row>
    <row r="78" spans="1:15" ht="32" hidden="1" customHeight="1" x14ac:dyDescent="0.2">
      <c r="A78" s="212" t="s">
        <v>86</v>
      </c>
      <c r="B78" s="660" t="s">
        <v>431</v>
      </c>
      <c r="C78" s="660"/>
      <c r="D78" s="660"/>
      <c r="E78" s="660"/>
      <c r="F78" s="660"/>
      <c r="G78" s="660"/>
      <c r="H78" s="660"/>
      <c r="I78" s="660"/>
      <c r="J78" s="660"/>
      <c r="K78" s="660"/>
      <c r="L78" s="660"/>
      <c r="M78" s="660"/>
      <c r="O78" s="462"/>
    </row>
    <row r="79" spans="1:15" ht="38" hidden="1" customHeight="1" x14ac:dyDescent="0.2">
      <c r="A79" s="221" t="s">
        <v>88</v>
      </c>
      <c r="B79" s="660" t="s">
        <v>362</v>
      </c>
      <c r="C79" s="660"/>
      <c r="D79" s="660"/>
      <c r="E79" s="660"/>
      <c r="F79" s="660"/>
      <c r="G79" s="660"/>
      <c r="H79" s="660"/>
      <c r="I79" s="660"/>
      <c r="J79" s="660"/>
      <c r="K79" s="660"/>
      <c r="L79" s="660"/>
      <c r="M79" s="660"/>
      <c r="O79" s="462"/>
    </row>
    <row r="80" spans="1:15" ht="17" hidden="1" customHeight="1" x14ac:dyDescent="0.2">
      <c r="A80" s="212" t="s">
        <v>89</v>
      </c>
      <c r="B80" s="666" t="s">
        <v>363</v>
      </c>
      <c r="C80" s="666"/>
      <c r="D80" s="666"/>
      <c r="E80" s="666"/>
      <c r="F80" s="666"/>
      <c r="G80" s="666"/>
      <c r="H80" s="666"/>
      <c r="I80" s="666"/>
      <c r="J80" s="666"/>
      <c r="K80" s="666"/>
      <c r="L80" s="666"/>
      <c r="M80" s="666"/>
      <c r="O80" s="462"/>
    </row>
    <row r="81" spans="1:15" ht="17" hidden="1" customHeight="1" x14ac:dyDescent="0.2">
      <c r="B81" s="666" t="s">
        <v>364</v>
      </c>
      <c r="C81" s="666"/>
      <c r="D81" s="666"/>
      <c r="E81" s="666"/>
      <c r="F81" s="666"/>
      <c r="G81" s="666"/>
      <c r="H81" s="666"/>
      <c r="I81" s="666"/>
      <c r="J81" s="666"/>
      <c r="K81" s="666"/>
      <c r="L81" s="666"/>
      <c r="M81" s="666"/>
      <c r="O81" s="462"/>
    </row>
    <row r="82" spans="1:15" ht="17" hidden="1" customHeight="1" x14ac:dyDescent="0.2">
      <c r="B82" s="666" t="s">
        <v>365</v>
      </c>
      <c r="C82" s="666"/>
      <c r="D82" s="666"/>
      <c r="E82" s="666"/>
      <c r="F82" s="666"/>
      <c r="G82" s="666"/>
      <c r="H82" s="666"/>
      <c r="I82" s="666"/>
      <c r="J82" s="666"/>
      <c r="K82" s="666"/>
      <c r="L82" s="666"/>
      <c r="M82" s="666"/>
      <c r="O82" s="462"/>
    </row>
    <row r="83" spans="1:15" ht="16" hidden="1" customHeight="1" x14ac:dyDescent="0.2">
      <c r="A83" s="212" t="s">
        <v>91</v>
      </c>
      <c r="B83" s="666" t="s">
        <v>366</v>
      </c>
      <c r="C83" s="666"/>
      <c r="D83" s="666"/>
      <c r="E83" s="666"/>
      <c r="F83" s="666"/>
      <c r="G83" s="666"/>
      <c r="H83" s="666"/>
      <c r="I83" s="666"/>
      <c r="J83" s="666"/>
      <c r="K83" s="666"/>
      <c r="L83" s="666"/>
      <c r="M83" s="666"/>
      <c r="O83" s="462"/>
    </row>
    <row r="84" spans="1:15" ht="16" hidden="1" customHeight="1" x14ac:dyDescent="0.2">
      <c r="A84" s="212" t="s">
        <v>92</v>
      </c>
      <c r="B84" s="668" t="s">
        <v>367</v>
      </c>
      <c r="C84" s="668"/>
      <c r="D84" s="668"/>
      <c r="E84" s="668"/>
      <c r="F84" s="668"/>
      <c r="G84" s="668"/>
      <c r="H84" s="668"/>
      <c r="I84" s="668"/>
      <c r="J84" s="668"/>
      <c r="K84" s="668"/>
      <c r="L84" s="668"/>
      <c r="M84" s="668"/>
      <c r="O84" s="462"/>
    </row>
    <row r="85" spans="1:15" ht="27" hidden="1" customHeight="1" x14ac:dyDescent="0.2">
      <c r="A85" s="212" t="s">
        <v>514</v>
      </c>
      <c r="B85" s="666" t="s">
        <v>368</v>
      </c>
      <c r="C85" s="666"/>
      <c r="D85" s="666"/>
      <c r="E85" s="666"/>
      <c r="F85" s="666"/>
      <c r="G85" s="666"/>
      <c r="H85" s="666"/>
      <c r="I85" s="666"/>
      <c r="J85" s="666"/>
      <c r="K85" s="666"/>
      <c r="L85" s="666"/>
      <c r="M85" s="666"/>
      <c r="O85" s="462"/>
    </row>
    <row r="86" spans="1:15" ht="43" hidden="1" customHeight="1" x14ac:dyDescent="0.2">
      <c r="A86" s="212" t="s">
        <v>515</v>
      </c>
      <c r="B86" s="660" t="s">
        <v>369</v>
      </c>
      <c r="C86" s="660"/>
      <c r="D86" s="660"/>
      <c r="E86" s="660"/>
      <c r="F86" s="660"/>
      <c r="G86" s="660"/>
      <c r="H86" s="660"/>
      <c r="I86" s="660"/>
      <c r="J86" s="660"/>
      <c r="K86" s="660"/>
      <c r="L86" s="660"/>
      <c r="M86" s="660"/>
      <c r="O86" s="462"/>
    </row>
    <row r="87" spans="1:15" x14ac:dyDescent="0.2">
      <c r="A87" s="220"/>
      <c r="B87" s="220"/>
      <c r="C87" s="220"/>
      <c r="D87" s="220"/>
      <c r="E87" s="220"/>
      <c r="F87" s="220"/>
      <c r="G87" s="220"/>
      <c r="H87" s="220"/>
      <c r="I87" s="220"/>
      <c r="J87" s="220"/>
      <c r="K87" s="220"/>
      <c r="L87" s="220"/>
      <c r="M87" s="220"/>
      <c r="O87" s="462"/>
    </row>
    <row r="88" spans="1:15" x14ac:dyDescent="0.2">
      <c r="A88" s="220"/>
      <c r="B88" s="220"/>
      <c r="C88" s="220"/>
      <c r="D88" s="220"/>
      <c r="E88" s="220"/>
      <c r="F88" s="220"/>
      <c r="G88" s="220"/>
      <c r="H88" s="220"/>
      <c r="I88" s="220"/>
      <c r="J88" s="220"/>
      <c r="K88" s="220"/>
      <c r="L88" s="220"/>
      <c r="M88" s="220"/>
      <c r="O88" s="462"/>
    </row>
    <row r="89" spans="1:15" x14ac:dyDescent="0.2">
      <c r="O89" s="462"/>
    </row>
    <row r="90" spans="1:15" x14ac:dyDescent="0.2">
      <c r="O90" s="462"/>
    </row>
    <row r="91" spans="1:15" x14ac:dyDescent="0.2">
      <c r="O91" s="462"/>
    </row>
    <row r="92" spans="1:15" x14ac:dyDescent="0.2">
      <c r="O92" s="462"/>
    </row>
    <row r="93" spans="1:15" x14ac:dyDescent="0.2">
      <c r="O93" s="462"/>
    </row>
    <row r="94" spans="1:15" x14ac:dyDescent="0.2">
      <c r="O94" s="462"/>
    </row>
  </sheetData>
  <sheetProtection sheet="1" scenarios="1" selectLockedCells="1" selectUnlockedCells="1"/>
  <mergeCells count="63">
    <mergeCell ref="B42:M42"/>
    <mergeCell ref="B44:M44"/>
    <mergeCell ref="B55:M55"/>
    <mergeCell ref="B30:M30"/>
    <mergeCell ref="B41:M41"/>
    <mergeCell ref="B46:M46"/>
    <mergeCell ref="B47:M47"/>
    <mergeCell ref="B49:M49"/>
    <mergeCell ref="B54:M54"/>
    <mergeCell ref="B51:M51"/>
    <mergeCell ref="B48:M48"/>
    <mergeCell ref="B28:M28"/>
    <mergeCell ref="B11:M11"/>
    <mergeCell ref="B6:M6"/>
    <mergeCell ref="B7:M7"/>
    <mergeCell ref="B16:M16"/>
    <mergeCell ref="B26:M26"/>
    <mergeCell ref="B27:M27"/>
    <mergeCell ref="B17:M17"/>
    <mergeCell ref="B10:M10"/>
    <mergeCell ref="B25:M25"/>
    <mergeCell ref="B13:M13"/>
    <mergeCell ref="B86:M86"/>
    <mergeCell ref="B80:M80"/>
    <mergeCell ref="B81:M81"/>
    <mergeCell ref="B82:M82"/>
    <mergeCell ref="B60:M60"/>
    <mergeCell ref="B78:M78"/>
    <mergeCell ref="B79:M79"/>
    <mergeCell ref="B70:M70"/>
    <mergeCell ref="B71:M71"/>
    <mergeCell ref="B74:M74"/>
    <mergeCell ref="B75:M75"/>
    <mergeCell ref="B76:M76"/>
    <mergeCell ref="B61:M61"/>
    <mergeCell ref="B83:M83"/>
    <mergeCell ref="B84:M84"/>
    <mergeCell ref="B85:M85"/>
    <mergeCell ref="B72:M72"/>
    <mergeCell ref="B73:M73"/>
    <mergeCell ref="B63:M63"/>
    <mergeCell ref="B66:M66"/>
    <mergeCell ref="B67:M67"/>
    <mergeCell ref="B65:M65"/>
    <mergeCell ref="B68:M68"/>
    <mergeCell ref="B64:M64"/>
    <mergeCell ref="B69:M69"/>
    <mergeCell ref="B1:M1"/>
    <mergeCell ref="B2:M2"/>
    <mergeCell ref="B62:M62"/>
    <mergeCell ref="B50:M50"/>
    <mergeCell ref="B52:M52"/>
    <mergeCell ref="B53:M53"/>
    <mergeCell ref="B59:M59"/>
    <mergeCell ref="B57:M57"/>
    <mergeCell ref="B58:M58"/>
    <mergeCell ref="B3:M3"/>
    <mergeCell ref="B14:M14"/>
    <mergeCell ref="B29:M29"/>
    <mergeCell ref="B5:M5"/>
    <mergeCell ref="B9:M9"/>
    <mergeCell ref="B12:M12"/>
    <mergeCell ref="B8:M8"/>
  </mergeCells>
  <hyperlinks>
    <hyperlink ref="A15" location="'PCF Revenue Calculator'!A14" display="Primary Care First Input Data" xr:uid="{6C4AB3FD-D4EC-7C43-862C-01C0742FB817}"/>
    <hyperlink ref="A4" location="'PCF Revenue Calculator'!A6" display="Practice Derived Input Data" xr:uid="{E0788AEA-8E42-D842-B888-FAEE5A5C7C43}"/>
    <hyperlink ref="A43" location="'PCF Revenue Calculator'!B27" display="PCF Practice Additional Overhead (cf. MCR Practices)" xr:uid="{383BD13B-ECE2-6D46-8A37-DFE38053F492}"/>
    <hyperlink ref="A56" location="'PCF Revenue Calculator'!A33" display="Algorithm Outputs" xr:uid="{862C8696-6F7B-9B40-BF2C-AEB3719CE194}"/>
    <hyperlink ref="A63" location="'PCF Revenue Calculator'!A38" display="PCF Revenue" xr:uid="{58162D36-81F5-944B-8B63-DC1A76F25F2B}"/>
    <hyperlink ref="A77" location="'PCF Revenue Calculator'!A84" display="PCF Payment Model Option 3" xr:uid="{A24877F2-C63F-EF44-8D2C-365B9BD7807B}"/>
    <hyperlink ref="A45" location="'PCF Revenue Calculator'!B35" display="CPC+ Input Data" xr:uid="{3E7B2E04-C91E-4B44-985C-05EEB2CBAF71}"/>
    <hyperlink ref="A2" location="'PCF Revenue Calculator'!Print_Area" display="Click here to return to the PCF Revenue Calculator" xr:uid="{78F67D94-9C0D-4B75-ADE3-AE72E694642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75D4F-331F-4949-ADA8-D4120B92CB86}">
  <sheetPr codeName="Sheet4"/>
  <dimension ref="B1:N32"/>
  <sheetViews>
    <sheetView workbookViewId="0">
      <selection activeCell="E24" sqref="E24"/>
    </sheetView>
  </sheetViews>
  <sheetFormatPr baseColWidth="10" defaultColWidth="10.83203125" defaultRowHeight="16" x14ac:dyDescent="0.2"/>
  <cols>
    <col min="2" max="2" width="18" customWidth="1"/>
    <col min="4" max="4" width="15.83203125" customWidth="1"/>
    <col min="5" max="5" width="14" customWidth="1"/>
    <col min="7" max="8" width="13" customWidth="1"/>
    <col min="9" max="10" width="12.5" bestFit="1" customWidth="1"/>
    <col min="11" max="11" width="11.5" bestFit="1" customWidth="1"/>
  </cols>
  <sheetData>
    <row r="1" spans="2:13" x14ac:dyDescent="0.2">
      <c r="H1" s="22" t="s">
        <v>370</v>
      </c>
      <c r="I1" s="5"/>
      <c r="J1" s="5"/>
      <c r="K1" s="5"/>
      <c r="L1" s="5"/>
      <c r="M1" s="5"/>
    </row>
    <row r="2" spans="2:13" x14ac:dyDescent="0.2">
      <c r="H2" t="s">
        <v>371</v>
      </c>
      <c r="I2" s="19">
        <v>50.52</v>
      </c>
      <c r="J2">
        <v>1200</v>
      </c>
      <c r="K2" s="3">
        <f>J2*I2</f>
        <v>60624.000000000007</v>
      </c>
    </row>
    <row r="3" spans="2:13" x14ac:dyDescent="0.2">
      <c r="B3" t="s">
        <v>372</v>
      </c>
      <c r="H3" t="s">
        <v>373</v>
      </c>
      <c r="I3">
        <v>4240</v>
      </c>
      <c r="J3">
        <f>I3/4</f>
        <v>1060</v>
      </c>
      <c r="K3">
        <f>I3/4</f>
        <v>1060</v>
      </c>
    </row>
    <row r="4" spans="2:13" x14ac:dyDescent="0.2">
      <c r="B4" t="s">
        <v>374</v>
      </c>
      <c r="H4" t="s">
        <v>375</v>
      </c>
      <c r="I4">
        <v>5000</v>
      </c>
    </row>
    <row r="5" spans="2:13" x14ac:dyDescent="0.2">
      <c r="B5" t="s">
        <v>376</v>
      </c>
      <c r="D5" t="s">
        <v>377</v>
      </c>
      <c r="E5" t="s">
        <v>378</v>
      </c>
      <c r="H5" t="s">
        <v>379</v>
      </c>
      <c r="I5">
        <v>800</v>
      </c>
    </row>
    <row r="6" spans="2:13" x14ac:dyDescent="0.2">
      <c r="C6" t="s">
        <v>380</v>
      </c>
      <c r="H6" t="s">
        <v>381</v>
      </c>
      <c r="I6" s="21">
        <f>I3/I5</f>
        <v>5.3</v>
      </c>
    </row>
    <row r="7" spans="2:13" x14ac:dyDescent="0.2">
      <c r="C7" t="s">
        <v>382</v>
      </c>
      <c r="H7" t="s">
        <v>383</v>
      </c>
      <c r="I7" s="1">
        <f>I3/I4</f>
        <v>0.84799999999999998</v>
      </c>
    </row>
    <row r="8" spans="2:13" x14ac:dyDescent="0.2">
      <c r="C8" t="s">
        <v>384</v>
      </c>
      <c r="H8" t="s">
        <v>385</v>
      </c>
      <c r="I8" s="7">
        <v>45</v>
      </c>
    </row>
    <row r="9" spans="2:13" x14ac:dyDescent="0.2">
      <c r="B9" t="s">
        <v>386</v>
      </c>
      <c r="H9" t="s">
        <v>387</v>
      </c>
      <c r="I9" s="3">
        <f>I8*I7</f>
        <v>38.159999999999997</v>
      </c>
    </row>
    <row r="10" spans="2:13" x14ac:dyDescent="0.2">
      <c r="C10" t="s">
        <v>388</v>
      </c>
    </row>
    <row r="11" spans="2:13" x14ac:dyDescent="0.2">
      <c r="C11" t="s">
        <v>389</v>
      </c>
      <c r="J11">
        <f>91800/800/3</f>
        <v>38.25</v>
      </c>
      <c r="K11" t="s">
        <v>390</v>
      </c>
    </row>
    <row r="12" spans="2:13" x14ac:dyDescent="0.2">
      <c r="C12" t="s">
        <v>391</v>
      </c>
    </row>
    <row r="13" spans="2:13" x14ac:dyDescent="0.2">
      <c r="B13" t="s">
        <v>392</v>
      </c>
      <c r="H13" t="s">
        <v>393</v>
      </c>
      <c r="I13" s="24">
        <f>J13*800*3</f>
        <v>91800</v>
      </c>
      <c r="J13" s="19">
        <v>38.25</v>
      </c>
      <c r="K13" t="s">
        <v>394</v>
      </c>
      <c r="L13" s="2" t="s">
        <v>395</v>
      </c>
    </row>
    <row r="14" spans="2:13" x14ac:dyDescent="0.2">
      <c r="C14" t="s">
        <v>396</v>
      </c>
      <c r="I14" s="25" t="s">
        <v>397</v>
      </c>
      <c r="J14" s="19"/>
    </row>
    <row r="15" spans="2:13" x14ac:dyDescent="0.2">
      <c r="C15" t="s">
        <v>398</v>
      </c>
      <c r="I15" s="7"/>
    </row>
    <row r="16" spans="2:13" x14ac:dyDescent="0.2">
      <c r="B16" t="s">
        <v>399</v>
      </c>
      <c r="H16" t="s">
        <v>400</v>
      </c>
      <c r="I16" s="20">
        <f>1200*I2</f>
        <v>60624.000000000007</v>
      </c>
      <c r="J16" t="s">
        <v>401</v>
      </c>
    </row>
    <row r="17" spans="2:14" x14ac:dyDescent="0.2">
      <c r="B17" t="s">
        <v>402</v>
      </c>
      <c r="H17" t="s">
        <v>403</v>
      </c>
      <c r="I17" s="23">
        <f>I2*J3</f>
        <v>53551.200000000004</v>
      </c>
      <c r="J17" t="s">
        <v>394</v>
      </c>
      <c r="L17" t="s">
        <v>404</v>
      </c>
    </row>
    <row r="18" spans="2:14" x14ac:dyDescent="0.2">
      <c r="I18" s="24">
        <f>I17+I13</f>
        <v>145351.20000000001</v>
      </c>
      <c r="J18" t="s">
        <v>394</v>
      </c>
      <c r="M18" t="s">
        <v>405</v>
      </c>
    </row>
    <row r="19" spans="2:14" x14ac:dyDescent="0.2">
      <c r="I19" t="s">
        <v>406</v>
      </c>
      <c r="M19" t="s">
        <v>407</v>
      </c>
    </row>
    <row r="20" spans="2:14" x14ac:dyDescent="0.2">
      <c r="M20" t="s">
        <v>408</v>
      </c>
    </row>
    <row r="21" spans="2:14" x14ac:dyDescent="0.2">
      <c r="H21" t="s">
        <v>409</v>
      </c>
      <c r="I21" t="s">
        <v>410</v>
      </c>
      <c r="J21" t="s">
        <v>411</v>
      </c>
      <c r="N21" t="s">
        <v>412</v>
      </c>
    </row>
    <row r="22" spans="2:14" x14ac:dyDescent="0.2">
      <c r="B22" s="2" t="s">
        <v>413</v>
      </c>
      <c r="G22" s="2" t="s">
        <v>414</v>
      </c>
      <c r="H22" s="24">
        <f>I18</f>
        <v>145351.20000000001</v>
      </c>
      <c r="I22" s="24">
        <f>H22*0.5</f>
        <v>72675.600000000006</v>
      </c>
      <c r="J22" s="24">
        <f>H22+I22</f>
        <v>218026.80000000002</v>
      </c>
      <c r="K22" t="s">
        <v>415</v>
      </c>
    </row>
    <row r="23" spans="2:14" x14ac:dyDescent="0.2">
      <c r="B23" t="s">
        <v>416</v>
      </c>
      <c r="C23" s="7">
        <v>325</v>
      </c>
      <c r="G23" t="s">
        <v>417</v>
      </c>
      <c r="H23" s="7">
        <v>152424</v>
      </c>
      <c r="I23" s="7">
        <f>I24+I25</f>
        <v>76211</v>
      </c>
      <c r="J23" s="7">
        <f>H23+I23</f>
        <v>228635</v>
      </c>
      <c r="K23" t="s">
        <v>418</v>
      </c>
    </row>
    <row r="24" spans="2:14" x14ac:dyDescent="0.2">
      <c r="B24" t="s">
        <v>115</v>
      </c>
      <c r="C24" s="7">
        <v>275</v>
      </c>
      <c r="I24">
        <v>51824</v>
      </c>
    </row>
    <row r="25" spans="2:14" x14ac:dyDescent="0.2">
      <c r="B25" t="s">
        <v>419</v>
      </c>
      <c r="C25" s="7">
        <v>50</v>
      </c>
      <c r="I25">
        <v>24387</v>
      </c>
      <c r="J25" s="1"/>
    </row>
    <row r="27" spans="2:14" x14ac:dyDescent="0.2">
      <c r="B27" t="s">
        <v>420</v>
      </c>
    </row>
    <row r="28" spans="2:14" x14ac:dyDescent="0.2">
      <c r="B28" t="s">
        <v>421</v>
      </c>
    </row>
    <row r="29" spans="2:14" x14ac:dyDescent="0.2">
      <c r="B29" t="s">
        <v>422</v>
      </c>
    </row>
    <row r="30" spans="2:14" x14ac:dyDescent="0.2">
      <c r="B30" t="s">
        <v>423</v>
      </c>
    </row>
    <row r="31" spans="2:14" x14ac:dyDescent="0.2">
      <c r="B31" t="s">
        <v>424</v>
      </c>
    </row>
    <row r="32" spans="2:14" x14ac:dyDescent="0.2">
      <c r="I32" s="1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38BF2278FD0746AD56023E07102770" ma:contentTypeVersion="" ma:contentTypeDescription="Create a new document." ma:contentTypeScope="" ma:versionID="30d03b10d40e53d02032ba4158eaf180">
  <xsd:schema xmlns:xsd="http://www.w3.org/2001/XMLSchema" xmlns:xs="http://www.w3.org/2001/XMLSchema" xmlns:p="http://schemas.microsoft.com/office/2006/metadata/properties" xmlns:ns2="e6181ac8-3192-45a3-aa87-09d45548b741" xmlns:ns3="27736ee7-ff6e-4969-b34f-a64a89b5b0fa" targetNamespace="http://schemas.microsoft.com/office/2006/metadata/properties" ma:root="true" ma:fieldsID="50b7f08f0c380e8c2f38959213a0cee0" ns2:_="" ns3:_="">
    <xsd:import namespace="e6181ac8-3192-45a3-aa87-09d45548b741"/>
    <xsd:import namespace="27736ee7-ff6e-4969-b34f-a64a89b5b0f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181ac8-3192-45a3-aa87-09d45548b74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736ee7-ff6e-4969-b34f-a64a89b5b0fa"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DFEB44-9FD6-4FDA-B1FC-1EBBF7ACA6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181ac8-3192-45a3-aa87-09d45548b741"/>
    <ds:schemaRef ds:uri="27736ee7-ff6e-4969-b34f-a64a89b5b0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6E6C0B-D4E2-4E67-A39E-96AFA7C404F2}">
  <ds:schemaRefs>
    <ds:schemaRef ds:uri="http://www.w3.org/XML/1998/namespac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e6181ac8-3192-45a3-aa87-09d45548b741"/>
    <ds:schemaRef ds:uri="http://schemas.microsoft.com/office/2006/documentManagement/types"/>
    <ds:schemaRef ds:uri="27736ee7-ff6e-4969-b34f-a64a89b5b0fa"/>
    <ds:schemaRef ds:uri="http://purl.org/dc/dcmitype/"/>
    <ds:schemaRef ds:uri="http://purl.org/dc/terms/"/>
  </ds:schemaRefs>
</ds:datastoreItem>
</file>

<file path=customXml/itemProps3.xml><?xml version="1.0" encoding="utf-8"?>
<ds:datastoreItem xmlns:ds="http://schemas.openxmlformats.org/officeDocument/2006/customXml" ds:itemID="{FA2F375A-93DC-4BDA-BFAF-3CAC425A7C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PCF Revenue Calculator</vt:lpstr>
      <vt:lpstr>Algorithm Ref Tables</vt:lpstr>
      <vt:lpstr>Details and Definitions</vt:lpstr>
      <vt:lpstr>PCF Additions notes</vt:lpstr>
      <vt:lpstr>'PCF Revenue Calculator'!Print_Area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Ehrenberger</dc:creator>
  <cp:keywords/>
  <dc:description/>
  <cp:lastModifiedBy>Microsoft Office User</cp:lastModifiedBy>
  <cp:revision/>
  <dcterms:created xsi:type="dcterms:W3CDTF">2019-06-05T16:45:33Z</dcterms:created>
  <dcterms:modified xsi:type="dcterms:W3CDTF">2021-05-07T18:28:31Z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0x010100B138BF2278FD0746AD56023E07102770</vt:lpwstr>
  </property>
</Properties>
</file>